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55"/>
  </bookViews>
  <sheets>
    <sheet name="ACFS2.0-CANpro" sheetId="17" r:id="rId1"/>
    <sheet name="recipe-KOR" sheetId="2" r:id="rId2"/>
    <sheet name="recipe-china" sheetId="15" r:id="rId3"/>
    <sheet name="recipe-mediterranean" sheetId="13" r:id="rId4"/>
    <sheet name="recipe-vegetarian" sheetId="16" r:id="rId5"/>
    <sheet name="recipe-western" sheetId="1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6" l="1"/>
  <c r="L236" i="13" l="1"/>
  <c r="L237" i="13"/>
  <c r="L238" i="13"/>
  <c r="L239" i="13"/>
  <c r="L240" i="13"/>
  <c r="L241" i="13"/>
  <c r="L242" i="13"/>
  <c r="L243" i="13"/>
  <c r="L244" i="13"/>
  <c r="L245" i="13"/>
  <c r="L235" i="13"/>
  <c r="L297" i="13"/>
  <c r="L298" i="13"/>
  <c r="L299" i="13"/>
  <c r="L300" i="13"/>
  <c r="L301" i="13"/>
  <c r="L302" i="13"/>
  <c r="L303" i="13"/>
  <c r="L304" i="13"/>
  <c r="L305" i="13"/>
  <c r="L306" i="13"/>
  <c r="L307" i="13"/>
  <c r="L296" i="13"/>
  <c r="L197" i="13" l="1"/>
  <c r="L198" i="13"/>
  <c r="L199" i="13"/>
  <c r="L200" i="13"/>
  <c r="L201" i="13"/>
  <c r="L202" i="13"/>
  <c r="L203" i="13"/>
  <c r="L204" i="13"/>
  <c r="L196" i="13"/>
  <c r="L30" i="16" l="1"/>
  <c r="L31" i="16"/>
  <c r="L34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29" i="16"/>
  <c r="L165" i="16" l="1"/>
  <c r="M165" i="16" s="1"/>
  <c r="L166" i="16"/>
  <c r="M166" i="16" s="1"/>
  <c r="L167" i="16"/>
  <c r="M167" i="16" s="1"/>
  <c r="L170" i="16"/>
  <c r="M170" i="16" s="1"/>
  <c r="L171" i="16"/>
  <c r="M171" i="16" s="1"/>
  <c r="L175" i="16"/>
  <c r="M175" i="16" s="1"/>
  <c r="L176" i="16"/>
  <c r="M176" i="16" s="1"/>
  <c r="L164" i="16"/>
  <c r="M164" i="16" s="1"/>
  <c r="H173" i="16"/>
  <c r="K173" i="16" s="1"/>
  <c r="L173" i="16" s="1"/>
  <c r="M173" i="16" s="1"/>
  <c r="H174" i="16"/>
  <c r="K174" i="16" s="1"/>
  <c r="L174" i="16" s="1"/>
  <c r="M174" i="16" s="1"/>
  <c r="H175" i="16"/>
  <c r="H176" i="16"/>
  <c r="H177" i="16"/>
  <c r="K177" i="16" s="1"/>
  <c r="L177" i="16" s="1"/>
  <c r="M177" i="16" s="1"/>
  <c r="H172" i="16"/>
  <c r="K172" i="16" s="1"/>
  <c r="L172" i="16" s="1"/>
  <c r="M172" i="16" s="1"/>
  <c r="H165" i="16"/>
  <c r="H166" i="16"/>
  <c r="H167" i="16"/>
  <c r="H168" i="16"/>
  <c r="K168" i="16" s="1"/>
  <c r="H169" i="16"/>
  <c r="K169" i="16" s="1"/>
  <c r="L169" i="16" s="1"/>
  <c r="M169" i="16" s="1"/>
  <c r="H170" i="16"/>
  <c r="H171" i="16"/>
  <c r="H164" i="16"/>
  <c r="M160" i="16"/>
  <c r="L148" i="16"/>
  <c r="M148" i="16" s="1"/>
  <c r="L149" i="16"/>
  <c r="M149" i="16" s="1"/>
  <c r="L150" i="16"/>
  <c r="M150" i="16" s="1"/>
  <c r="L151" i="16"/>
  <c r="M151" i="16" s="1"/>
  <c r="L152" i="16"/>
  <c r="M152" i="16" s="1"/>
  <c r="L153" i="16"/>
  <c r="M153" i="16" s="1"/>
  <c r="L154" i="16"/>
  <c r="M154" i="16" s="1"/>
  <c r="L157" i="16"/>
  <c r="M157" i="16" s="1"/>
  <c r="L160" i="16"/>
  <c r="L161" i="16"/>
  <c r="M161" i="16" s="1"/>
  <c r="L147" i="16"/>
  <c r="M147" i="16" s="1"/>
  <c r="K159" i="16"/>
  <c r="L159" i="16" s="1"/>
  <c r="M159" i="16" s="1"/>
  <c r="K158" i="16"/>
  <c r="L158" i="16" s="1"/>
  <c r="M158" i="16" s="1"/>
  <c r="K147" i="16"/>
  <c r="H158" i="16"/>
  <c r="H159" i="16"/>
  <c r="H160" i="16"/>
  <c r="H161" i="16"/>
  <c r="H162" i="16"/>
  <c r="K162" i="16" s="1"/>
  <c r="L162" i="16" s="1"/>
  <c r="M162" i="16" s="1"/>
  <c r="H157" i="16"/>
  <c r="H148" i="16"/>
  <c r="H149" i="16"/>
  <c r="H150" i="16"/>
  <c r="H151" i="16"/>
  <c r="H152" i="16"/>
  <c r="H153" i="16"/>
  <c r="H154" i="16"/>
  <c r="H155" i="16"/>
  <c r="K155" i="16" s="1"/>
  <c r="L155" i="16" s="1"/>
  <c r="M155" i="16" s="1"/>
  <c r="H156" i="16"/>
  <c r="K156" i="16" s="1"/>
  <c r="L156" i="16" s="1"/>
  <c r="M156" i="16" s="1"/>
  <c r="H147" i="16"/>
  <c r="R146" i="16"/>
  <c r="M128" i="16"/>
  <c r="L125" i="16"/>
  <c r="M125" i="16" s="1"/>
  <c r="L126" i="16"/>
  <c r="M126" i="16" s="1"/>
  <c r="L127" i="16"/>
  <c r="M127" i="16" s="1"/>
  <c r="L128" i="16"/>
  <c r="L129" i="16"/>
  <c r="M129" i="16" s="1"/>
  <c r="L130" i="16"/>
  <c r="M130" i="16" s="1"/>
  <c r="L131" i="16"/>
  <c r="M131" i="16" s="1"/>
  <c r="L132" i="16"/>
  <c r="M132" i="16" s="1"/>
  <c r="L134" i="16"/>
  <c r="M134" i="16" s="1"/>
  <c r="L135" i="16"/>
  <c r="M135" i="16" s="1"/>
  <c r="L139" i="16"/>
  <c r="M139" i="16" s="1"/>
  <c r="L140" i="16"/>
  <c r="M140" i="16" s="1"/>
  <c r="L141" i="16"/>
  <c r="M141" i="16" s="1"/>
  <c r="L142" i="16"/>
  <c r="M142" i="16" s="1"/>
  <c r="L144" i="16"/>
  <c r="M144" i="16" s="1"/>
  <c r="L145" i="16"/>
  <c r="M145" i="16" s="1"/>
  <c r="L124" i="16"/>
  <c r="M124" i="16" s="1"/>
  <c r="K137" i="16"/>
  <c r="L137" i="16" s="1"/>
  <c r="M137" i="16" s="1"/>
  <c r="K136" i="16"/>
  <c r="L136" i="16" s="1"/>
  <c r="M136" i="16" s="1"/>
  <c r="F141" i="16"/>
  <c r="H141" i="16" s="1"/>
  <c r="H137" i="16"/>
  <c r="H138" i="16"/>
  <c r="K138" i="16" s="1"/>
  <c r="L138" i="16" s="1"/>
  <c r="M138" i="16" s="1"/>
  <c r="H139" i="16"/>
  <c r="H140" i="16"/>
  <c r="H142" i="16"/>
  <c r="H143" i="16"/>
  <c r="K143" i="16" s="1"/>
  <c r="L143" i="16" s="1"/>
  <c r="M143" i="16" s="1"/>
  <c r="H144" i="16"/>
  <c r="H145" i="16"/>
  <c r="H146" i="16"/>
  <c r="H136" i="16"/>
  <c r="H125" i="16"/>
  <c r="H126" i="16"/>
  <c r="H127" i="16"/>
  <c r="H128" i="16"/>
  <c r="H129" i="16"/>
  <c r="H130" i="16"/>
  <c r="H131" i="16"/>
  <c r="H132" i="16"/>
  <c r="H133" i="16"/>
  <c r="K133" i="16" s="1"/>
  <c r="H134" i="16"/>
  <c r="H135" i="16"/>
  <c r="H124" i="16"/>
  <c r="R123" i="16"/>
  <c r="L107" i="16"/>
  <c r="M107" i="16" s="1"/>
  <c r="L108" i="16"/>
  <c r="M108" i="16" s="1"/>
  <c r="L109" i="16"/>
  <c r="M109" i="16" s="1"/>
  <c r="L110" i="16"/>
  <c r="M110" i="16" s="1"/>
  <c r="L111" i="16"/>
  <c r="M111" i="16" s="1"/>
  <c r="L112" i="16"/>
  <c r="M112" i="16" s="1"/>
  <c r="L113" i="16"/>
  <c r="M113" i="16" s="1"/>
  <c r="L114" i="16"/>
  <c r="M114" i="16" s="1"/>
  <c r="L115" i="16"/>
  <c r="M115" i="16" s="1"/>
  <c r="L116" i="16"/>
  <c r="M116" i="16" s="1"/>
  <c r="L118" i="16"/>
  <c r="M118" i="16" s="1"/>
  <c r="L119" i="16"/>
  <c r="M119" i="16" s="1"/>
  <c r="L121" i="16"/>
  <c r="M121" i="16" s="1"/>
  <c r="L106" i="16"/>
  <c r="M106" i="16" s="1"/>
  <c r="L14" i="16"/>
  <c r="L15" i="16"/>
  <c r="L16" i="16"/>
  <c r="L17" i="16"/>
  <c r="L18" i="16"/>
  <c r="L19" i="16"/>
  <c r="L20" i="16"/>
  <c r="L21" i="16"/>
  <c r="L22" i="16"/>
  <c r="L25" i="16"/>
  <c r="L26" i="16"/>
  <c r="L27" i="16"/>
  <c r="H122" i="16"/>
  <c r="K122" i="16" s="1"/>
  <c r="L122" i="16" s="1"/>
  <c r="M122" i="16" s="1"/>
  <c r="H115" i="16"/>
  <c r="H116" i="16"/>
  <c r="H117" i="16"/>
  <c r="K117" i="16" s="1"/>
  <c r="H118" i="16"/>
  <c r="H119" i="16"/>
  <c r="H120" i="16"/>
  <c r="K120" i="16" s="1"/>
  <c r="L120" i="16" s="1"/>
  <c r="M120" i="16" s="1"/>
  <c r="H121" i="16"/>
  <c r="H114" i="16"/>
  <c r="H107" i="16"/>
  <c r="H108" i="16"/>
  <c r="H109" i="16"/>
  <c r="H110" i="16"/>
  <c r="H111" i="16"/>
  <c r="H112" i="16"/>
  <c r="H113" i="16"/>
  <c r="H106" i="16"/>
  <c r="N163" i="16" l="1"/>
  <c r="K146" i="16"/>
  <c r="L133" i="16"/>
  <c r="M133" i="16" s="1"/>
  <c r="N146" i="16" s="1"/>
  <c r="L117" i="16"/>
  <c r="M117" i="16" s="1"/>
  <c r="N123" i="16" s="1"/>
  <c r="K123" i="16"/>
  <c r="K163" i="16"/>
  <c r="K178" i="16"/>
  <c r="L168" i="16"/>
  <c r="L163" i="16"/>
  <c r="L146" i="16"/>
  <c r="R105" i="16"/>
  <c r="Q105" i="16"/>
  <c r="L80" i="16"/>
  <c r="M80" i="16" s="1"/>
  <c r="L81" i="16"/>
  <c r="M81" i="16" s="1"/>
  <c r="L82" i="16"/>
  <c r="M82" i="16" s="1"/>
  <c r="L83" i="16"/>
  <c r="M83" i="16" s="1"/>
  <c r="L84" i="16"/>
  <c r="M84" i="16" s="1"/>
  <c r="L86" i="16"/>
  <c r="M86" i="16" s="1"/>
  <c r="L88" i="16"/>
  <c r="M88" i="16" s="1"/>
  <c r="L89" i="16"/>
  <c r="M89" i="16" s="1"/>
  <c r="L90" i="16"/>
  <c r="M90" i="16" s="1"/>
  <c r="L91" i="16"/>
  <c r="M91" i="16" s="1"/>
  <c r="L92" i="16"/>
  <c r="M92" i="16" s="1"/>
  <c r="L93" i="16"/>
  <c r="M93" i="16" s="1"/>
  <c r="L94" i="16"/>
  <c r="M94" i="16" s="1"/>
  <c r="L95" i="16"/>
  <c r="M95" i="16" s="1"/>
  <c r="L96" i="16"/>
  <c r="M96" i="16" s="1"/>
  <c r="L97" i="16"/>
  <c r="M97" i="16" s="1"/>
  <c r="L98" i="16"/>
  <c r="M98" i="16" s="1"/>
  <c r="L99" i="16"/>
  <c r="M99" i="16" s="1"/>
  <c r="L100" i="16"/>
  <c r="M100" i="16" s="1"/>
  <c r="L101" i="16"/>
  <c r="M101" i="16" s="1"/>
  <c r="L102" i="16"/>
  <c r="M102" i="16" s="1"/>
  <c r="L103" i="16"/>
  <c r="M103" i="16" s="1"/>
  <c r="L104" i="16"/>
  <c r="M104" i="16" s="1"/>
  <c r="L79" i="16"/>
  <c r="M79" i="16" s="1"/>
  <c r="L123" i="16" l="1"/>
  <c r="M168" i="16"/>
  <c r="N178" i="16" s="1"/>
  <c r="L178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80" i="16"/>
  <c r="H81" i="16"/>
  <c r="H82" i="16"/>
  <c r="H83" i="16"/>
  <c r="H84" i="16"/>
  <c r="H85" i="16"/>
  <c r="K85" i="16" s="1"/>
  <c r="H86" i="16"/>
  <c r="H87" i="16"/>
  <c r="K87" i="16" s="1"/>
  <c r="L87" i="16" s="1"/>
  <c r="M87" i="16" s="1"/>
  <c r="H88" i="16"/>
  <c r="H89" i="16"/>
  <c r="H90" i="16"/>
  <c r="H79" i="16"/>
  <c r="L67" i="16"/>
  <c r="M67" i="16" s="1"/>
  <c r="L68" i="16"/>
  <c r="M68" i="16" s="1"/>
  <c r="L69" i="16"/>
  <c r="M69" i="16" s="1"/>
  <c r="L70" i="16"/>
  <c r="M70" i="16" s="1"/>
  <c r="L71" i="16"/>
  <c r="M71" i="16" s="1"/>
  <c r="L72" i="16"/>
  <c r="M72" i="16" s="1"/>
  <c r="L73" i="16"/>
  <c r="M73" i="16" s="1"/>
  <c r="L74" i="16"/>
  <c r="M74" i="16" s="1"/>
  <c r="L75" i="16"/>
  <c r="M75" i="16" s="1"/>
  <c r="L76" i="16"/>
  <c r="M76" i="16" s="1"/>
  <c r="L77" i="16"/>
  <c r="M77" i="16" s="1"/>
  <c r="L66" i="16"/>
  <c r="K78" i="16"/>
  <c r="H67" i="16"/>
  <c r="H68" i="16"/>
  <c r="H69" i="16"/>
  <c r="H70" i="16"/>
  <c r="H71" i="16"/>
  <c r="H72" i="16"/>
  <c r="H73" i="16"/>
  <c r="H74" i="16"/>
  <c r="H75" i="16"/>
  <c r="H76" i="16"/>
  <c r="H77" i="16"/>
  <c r="H66" i="16"/>
  <c r="R65" i="16"/>
  <c r="L51" i="16"/>
  <c r="M51" i="16" s="1"/>
  <c r="L52" i="16"/>
  <c r="M52" i="16" s="1"/>
  <c r="L54" i="16"/>
  <c r="M54" i="16" s="1"/>
  <c r="L55" i="16"/>
  <c r="M55" i="16" s="1"/>
  <c r="L56" i="16"/>
  <c r="M56" i="16" s="1"/>
  <c r="L57" i="16"/>
  <c r="M57" i="16" s="1"/>
  <c r="L59" i="16"/>
  <c r="M59" i="16" s="1"/>
  <c r="L60" i="16"/>
  <c r="M60" i="16" s="1"/>
  <c r="L61" i="16"/>
  <c r="M61" i="16" s="1"/>
  <c r="L62" i="16"/>
  <c r="M62" i="16" s="1"/>
  <c r="L63" i="16"/>
  <c r="M63" i="16" s="1"/>
  <c r="L64" i="16"/>
  <c r="M64" i="16" s="1"/>
  <c r="L50" i="16"/>
  <c r="M50" i="16" s="1"/>
  <c r="K53" i="16"/>
  <c r="L53" i="16" s="1"/>
  <c r="H62" i="16"/>
  <c r="H63" i="16"/>
  <c r="H64" i="16"/>
  <c r="H61" i="16"/>
  <c r="H60" i="16"/>
  <c r="H59" i="16"/>
  <c r="H51" i="16"/>
  <c r="H52" i="16"/>
  <c r="H53" i="16"/>
  <c r="H54" i="16"/>
  <c r="H55" i="16"/>
  <c r="H56" i="16"/>
  <c r="H57" i="16"/>
  <c r="H58" i="16"/>
  <c r="K58" i="16" s="1"/>
  <c r="H50" i="16"/>
  <c r="M44" i="16"/>
  <c r="M30" i="16"/>
  <c r="M31" i="16"/>
  <c r="M34" i="16"/>
  <c r="M36" i="16"/>
  <c r="M37" i="16"/>
  <c r="M38" i="16"/>
  <c r="M39" i="16"/>
  <c r="M40" i="16"/>
  <c r="M41" i="16"/>
  <c r="M42" i="16"/>
  <c r="M43" i="16"/>
  <c r="M45" i="16"/>
  <c r="M46" i="16"/>
  <c r="M47" i="16"/>
  <c r="M48" i="16"/>
  <c r="R49" i="16"/>
  <c r="K32" i="16"/>
  <c r="K35" i="16"/>
  <c r="H42" i="16"/>
  <c r="H43" i="16"/>
  <c r="H44" i="16"/>
  <c r="H45" i="16"/>
  <c r="H46" i="16"/>
  <c r="H47" i="16"/>
  <c r="H48" i="16"/>
  <c r="H30" i="16"/>
  <c r="H31" i="16"/>
  <c r="H32" i="16"/>
  <c r="H33" i="16"/>
  <c r="K33" i="16" s="1"/>
  <c r="L33" i="16" s="1"/>
  <c r="H34" i="16"/>
  <c r="H35" i="16"/>
  <c r="H36" i="16"/>
  <c r="H37" i="16"/>
  <c r="H38" i="16"/>
  <c r="H39" i="16"/>
  <c r="H40" i="16"/>
  <c r="H41" i="16"/>
  <c r="H29" i="16"/>
  <c r="M14" i="16"/>
  <c r="M15" i="16"/>
  <c r="M16" i="16"/>
  <c r="M17" i="16"/>
  <c r="M18" i="16"/>
  <c r="M19" i="16"/>
  <c r="M20" i="16"/>
  <c r="M21" i="16"/>
  <c r="M22" i="16"/>
  <c r="M25" i="16"/>
  <c r="M26" i="16"/>
  <c r="M27" i="16"/>
  <c r="M13" i="16"/>
  <c r="H23" i="16"/>
  <c r="K23" i="16" s="1"/>
  <c r="H24" i="16"/>
  <c r="K24" i="16" s="1"/>
  <c r="L24" i="16" s="1"/>
  <c r="H25" i="16"/>
  <c r="H26" i="16"/>
  <c r="H27" i="16"/>
  <c r="H22" i="16"/>
  <c r="H21" i="16"/>
  <c r="L78" i="16" l="1"/>
  <c r="K105" i="16"/>
  <c r="L85" i="16"/>
  <c r="L35" i="16"/>
  <c r="L32" i="16"/>
  <c r="M32" i="16" s="1"/>
  <c r="L23" i="16"/>
  <c r="M23" i="16" s="1"/>
  <c r="M66" i="16"/>
  <c r="L58" i="16"/>
  <c r="M58" i="16" s="1"/>
  <c r="K65" i="16"/>
  <c r="M53" i="16"/>
  <c r="N78" i="16"/>
  <c r="M33" i="16"/>
  <c r="K49" i="16"/>
  <c r="M29" i="16"/>
  <c r="K28" i="16"/>
  <c r="M24" i="16"/>
  <c r="N65" i="16" l="1"/>
  <c r="L49" i="16"/>
  <c r="M35" i="16"/>
  <c r="L65" i="16"/>
  <c r="M85" i="16"/>
  <c r="N105" i="16" s="1"/>
  <c r="L105" i="16"/>
  <c r="N28" i="16"/>
  <c r="N49" i="16"/>
  <c r="L28" i="16"/>
  <c r="H14" i="16" l="1"/>
  <c r="H15" i="16"/>
  <c r="H16" i="16"/>
  <c r="H17" i="16"/>
  <c r="H18" i="16"/>
  <c r="H19" i="16"/>
  <c r="H20" i="16"/>
  <c r="H13" i="16"/>
  <c r="L3" i="16"/>
  <c r="M3" i="16" s="1"/>
  <c r="L5" i="16"/>
  <c r="M5" i="16" s="1"/>
  <c r="L6" i="16"/>
  <c r="M6" i="16" s="1"/>
  <c r="L7" i="16"/>
  <c r="M7" i="16" s="1"/>
  <c r="L8" i="16"/>
  <c r="M8" i="16" s="1"/>
  <c r="L9" i="16"/>
  <c r="M9" i="16" s="1"/>
  <c r="L10" i="16"/>
  <c r="M10" i="16" s="1"/>
  <c r="L11" i="16"/>
  <c r="M11" i="16" s="1"/>
  <c r="K2" i="16"/>
  <c r="L2" i="16" s="1"/>
  <c r="L272" i="13"/>
  <c r="L273" i="13"/>
  <c r="L274" i="13"/>
  <c r="L275" i="13"/>
  <c r="L276" i="13"/>
  <c r="L278" i="13"/>
  <c r="L279" i="13"/>
  <c r="L280" i="13"/>
  <c r="L281" i="13"/>
  <c r="L282" i="13"/>
  <c r="L271" i="13"/>
  <c r="L165" i="13"/>
  <c r="L166" i="13"/>
  <c r="L167" i="13"/>
  <c r="L168" i="13"/>
  <c r="L169" i="13"/>
  <c r="L170" i="13"/>
  <c r="L171" i="13"/>
  <c r="L173" i="13"/>
  <c r="L174" i="13"/>
  <c r="L175" i="13"/>
  <c r="L176" i="13"/>
  <c r="L164" i="13"/>
  <c r="L154" i="13"/>
  <c r="L155" i="13"/>
  <c r="L156" i="13"/>
  <c r="L157" i="13"/>
  <c r="L158" i="13"/>
  <c r="L159" i="13"/>
  <c r="L160" i="13"/>
  <c r="L161" i="13"/>
  <c r="L162" i="13"/>
  <c r="L153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71" i="13"/>
  <c r="L42" i="13"/>
  <c r="L43" i="13"/>
  <c r="L44" i="13"/>
  <c r="L45" i="13"/>
  <c r="L46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41" i="13"/>
  <c r="F10" i="16" l="1"/>
  <c r="H10" i="16" s="1"/>
  <c r="H3" i="16"/>
  <c r="H4" i="16"/>
  <c r="K4" i="16" s="1"/>
  <c r="L4" i="16" s="1"/>
  <c r="M4" i="16" s="1"/>
  <c r="H5" i="16"/>
  <c r="H6" i="16"/>
  <c r="H7" i="16"/>
  <c r="H8" i="16"/>
  <c r="H9" i="16"/>
  <c r="H11" i="16"/>
  <c r="H12" i="16"/>
  <c r="H2" i="16"/>
  <c r="M2" i="16"/>
  <c r="K12" i="16" l="1"/>
  <c r="N12" i="16"/>
  <c r="L12" i="16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34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95" i="13"/>
  <c r="L15" i="15" l="1"/>
  <c r="L16" i="15"/>
  <c r="L17" i="15"/>
  <c r="L18" i="15"/>
  <c r="L19" i="15"/>
  <c r="L20" i="15"/>
  <c r="L21" i="15"/>
  <c r="L22" i="15"/>
  <c r="L23" i="15"/>
  <c r="L24" i="15"/>
  <c r="L25" i="15"/>
  <c r="L26" i="15"/>
  <c r="K14" i="15"/>
  <c r="L14" i="15" s="1"/>
  <c r="L101" i="15" l="1"/>
  <c r="M101" i="15" s="1"/>
  <c r="L102" i="15"/>
  <c r="M102" i="15" s="1"/>
  <c r="L103" i="15"/>
  <c r="L104" i="15"/>
  <c r="L105" i="15"/>
  <c r="M105" i="15" s="1"/>
  <c r="L108" i="15"/>
  <c r="L110" i="15"/>
  <c r="M110" i="15" s="1"/>
  <c r="L111" i="15"/>
  <c r="M111" i="15" s="1"/>
  <c r="L112" i="15"/>
  <c r="M112" i="15" s="1"/>
  <c r="L113" i="15"/>
  <c r="M113" i="15" s="1"/>
  <c r="M103" i="15"/>
  <c r="M104" i="15"/>
  <c r="M108" i="15"/>
  <c r="Q114" i="15"/>
  <c r="R114" i="15"/>
  <c r="K106" i="15"/>
  <c r="L106" i="15" s="1"/>
  <c r="M106" i="15" s="1"/>
  <c r="H100" i="15"/>
  <c r="K100" i="15" s="1"/>
  <c r="L100" i="15" s="1"/>
  <c r="H101" i="15"/>
  <c r="H102" i="15"/>
  <c r="H103" i="15"/>
  <c r="H104" i="15"/>
  <c r="H105" i="15"/>
  <c r="H106" i="15"/>
  <c r="H107" i="15"/>
  <c r="K107" i="15" s="1"/>
  <c r="L107" i="15" s="1"/>
  <c r="M107" i="15" s="1"/>
  <c r="H108" i="15"/>
  <c r="H109" i="15"/>
  <c r="K109" i="15" s="1"/>
  <c r="L109" i="15" s="1"/>
  <c r="M109" i="15" s="1"/>
  <c r="H110" i="15"/>
  <c r="H111" i="15"/>
  <c r="H112" i="15"/>
  <c r="H113" i="15"/>
  <c r="H99" i="15"/>
  <c r="K99" i="15" s="1"/>
  <c r="L99" i="15" s="1"/>
  <c r="M99" i="15" s="1"/>
  <c r="L94" i="15"/>
  <c r="M94" i="15" s="1"/>
  <c r="L95" i="15"/>
  <c r="M95" i="15" s="1"/>
  <c r="L96" i="15"/>
  <c r="M96" i="15" s="1"/>
  <c r="L97" i="15"/>
  <c r="M97" i="15" s="1"/>
  <c r="L93" i="15"/>
  <c r="K98" i="15"/>
  <c r="H93" i="15"/>
  <c r="H91" i="15"/>
  <c r="Q92" i="15"/>
  <c r="L84" i="15"/>
  <c r="M84" i="15" s="1"/>
  <c r="L85" i="15"/>
  <c r="M85" i="15" s="1"/>
  <c r="L87" i="15"/>
  <c r="M87" i="15" s="1"/>
  <c r="L88" i="15"/>
  <c r="M88" i="15" s="1"/>
  <c r="L89" i="15"/>
  <c r="M89" i="15" s="1"/>
  <c r="L90" i="15"/>
  <c r="M90" i="15" s="1"/>
  <c r="L82" i="15"/>
  <c r="K86" i="15"/>
  <c r="L86" i="15" s="1"/>
  <c r="M86" i="15" s="1"/>
  <c r="H83" i="15"/>
  <c r="K83" i="15" s="1"/>
  <c r="H84" i="15"/>
  <c r="H85" i="15"/>
  <c r="H86" i="15"/>
  <c r="H87" i="15"/>
  <c r="H88" i="15"/>
  <c r="H89" i="15"/>
  <c r="H90" i="15"/>
  <c r="H82" i="15"/>
  <c r="L74" i="15"/>
  <c r="M74" i="15" s="1"/>
  <c r="L75" i="15"/>
  <c r="M75" i="15" s="1"/>
  <c r="L78" i="15"/>
  <c r="M78" i="15" s="1"/>
  <c r="L79" i="15"/>
  <c r="M79" i="15" s="1"/>
  <c r="L80" i="15"/>
  <c r="M80" i="15" s="1"/>
  <c r="L54" i="15"/>
  <c r="M54" i="15" s="1"/>
  <c r="L55" i="15"/>
  <c r="M55" i="15" s="1"/>
  <c r="L56" i="15"/>
  <c r="L60" i="15"/>
  <c r="M60" i="15" s="1"/>
  <c r="L61" i="15"/>
  <c r="M61" i="15" s="1"/>
  <c r="L62" i="15"/>
  <c r="M62" i="15" s="1"/>
  <c r="L42" i="15"/>
  <c r="L45" i="15"/>
  <c r="M45" i="15" s="1"/>
  <c r="L46" i="15"/>
  <c r="M46" i="15" s="1"/>
  <c r="L47" i="15"/>
  <c r="M47" i="15" s="1"/>
  <c r="L49" i="15"/>
  <c r="M49" i="15" s="1"/>
  <c r="L3" i="15"/>
  <c r="L4" i="15"/>
  <c r="L6" i="15"/>
  <c r="L8" i="15"/>
  <c r="L10" i="15"/>
  <c r="K5" i="15"/>
  <c r="L5" i="15" s="1"/>
  <c r="H74" i="15"/>
  <c r="H75" i="15"/>
  <c r="H76" i="15"/>
  <c r="K76" i="15" s="1"/>
  <c r="L76" i="15" s="1"/>
  <c r="H77" i="15"/>
  <c r="K77" i="15" s="1"/>
  <c r="H78" i="15"/>
  <c r="H79" i="15"/>
  <c r="H80" i="15"/>
  <c r="H73" i="15"/>
  <c r="K73" i="15" s="1"/>
  <c r="L73" i="15" s="1"/>
  <c r="M73" i="15" s="1"/>
  <c r="L65" i="15"/>
  <c r="L66" i="15"/>
  <c r="M66" i="15" s="1"/>
  <c r="L67" i="15"/>
  <c r="M67" i="15" s="1"/>
  <c r="L68" i="15"/>
  <c r="M68" i="15" s="1"/>
  <c r="L69" i="15"/>
  <c r="M69" i="15" s="1"/>
  <c r="L70" i="15"/>
  <c r="M70" i="15" s="1"/>
  <c r="L71" i="15"/>
  <c r="M71" i="15" s="1"/>
  <c r="M65" i="15"/>
  <c r="H65" i="15"/>
  <c r="H66" i="15"/>
  <c r="H67" i="15"/>
  <c r="H68" i="15"/>
  <c r="H69" i="15"/>
  <c r="H70" i="15"/>
  <c r="H71" i="15"/>
  <c r="H64" i="15"/>
  <c r="K64" i="15" s="1"/>
  <c r="M56" i="15"/>
  <c r="H62" i="15"/>
  <c r="H52" i="15"/>
  <c r="K52" i="15" s="1"/>
  <c r="L52" i="15" s="1"/>
  <c r="M52" i="15" s="1"/>
  <c r="H53" i="15"/>
  <c r="K53" i="15" s="1"/>
  <c r="H54" i="15"/>
  <c r="H55" i="15"/>
  <c r="H56" i="15"/>
  <c r="H57" i="15"/>
  <c r="K57" i="15" s="1"/>
  <c r="L57" i="15" s="1"/>
  <c r="M57" i="15" s="1"/>
  <c r="H58" i="15"/>
  <c r="K58" i="15" s="1"/>
  <c r="L58" i="15" s="1"/>
  <c r="M58" i="15" s="1"/>
  <c r="H59" i="15"/>
  <c r="K59" i="15" s="1"/>
  <c r="L59" i="15" s="1"/>
  <c r="M59" i="15" s="1"/>
  <c r="H60" i="15"/>
  <c r="H61" i="15"/>
  <c r="H51" i="15"/>
  <c r="K51" i="15" s="1"/>
  <c r="L51" i="15" s="1"/>
  <c r="M51" i="15" s="1"/>
  <c r="H49" i="15"/>
  <c r="Q50" i="15"/>
  <c r="M42" i="15"/>
  <c r="K48" i="15"/>
  <c r="L48" i="15" s="1"/>
  <c r="M48" i="15" s="1"/>
  <c r="H39" i="15"/>
  <c r="K39" i="15" s="1"/>
  <c r="L39" i="15" s="1"/>
  <c r="H40" i="15"/>
  <c r="K40" i="15" s="1"/>
  <c r="L40" i="15" s="1"/>
  <c r="H41" i="15"/>
  <c r="K41" i="15" s="1"/>
  <c r="L41" i="15" s="1"/>
  <c r="H42" i="15"/>
  <c r="H43" i="15"/>
  <c r="K43" i="15" s="1"/>
  <c r="L43" i="15" s="1"/>
  <c r="H44" i="15"/>
  <c r="K44" i="15" s="1"/>
  <c r="H45" i="15"/>
  <c r="H46" i="15"/>
  <c r="H47" i="15"/>
  <c r="H48" i="15"/>
  <c r="H38" i="15"/>
  <c r="K38" i="15" s="1"/>
  <c r="L38" i="15" s="1"/>
  <c r="M38" i="15" s="1"/>
  <c r="Q37" i="15"/>
  <c r="L31" i="15"/>
  <c r="M31" i="15" s="1"/>
  <c r="L32" i="15"/>
  <c r="M32" i="15" s="1"/>
  <c r="L34" i="15"/>
  <c r="M34" i="15" s="1"/>
  <c r="L36" i="15"/>
  <c r="M36" i="15" s="1"/>
  <c r="K35" i="15"/>
  <c r="L35" i="15" s="1"/>
  <c r="M35" i="15" s="1"/>
  <c r="K11" i="15"/>
  <c r="L11" i="15" s="1"/>
  <c r="K33" i="15"/>
  <c r="L33" i="15" s="1"/>
  <c r="M33" i="15" s="1"/>
  <c r="H29" i="15"/>
  <c r="K29" i="15" s="1"/>
  <c r="H30" i="15"/>
  <c r="K30" i="15" s="1"/>
  <c r="L30" i="15" s="1"/>
  <c r="M30" i="15" s="1"/>
  <c r="H31" i="15"/>
  <c r="H32" i="15"/>
  <c r="H33" i="15"/>
  <c r="H34" i="15"/>
  <c r="H35" i="15"/>
  <c r="H36" i="15"/>
  <c r="H28" i="15"/>
  <c r="K28" i="15" s="1"/>
  <c r="L28" i="15" s="1"/>
  <c r="M28" i="15" s="1"/>
  <c r="R27" i="15"/>
  <c r="Q27" i="15"/>
  <c r="M15" i="15"/>
  <c r="M16" i="15"/>
  <c r="M19" i="15"/>
  <c r="M20" i="15"/>
  <c r="M23" i="15"/>
  <c r="M24" i="15"/>
  <c r="M14" i="15"/>
  <c r="M17" i="15"/>
  <c r="M18" i="15"/>
  <c r="M21" i="15"/>
  <c r="M22" i="15"/>
  <c r="M25" i="15"/>
  <c r="M26" i="15"/>
  <c r="H26" i="15"/>
  <c r="L98" i="15" l="1"/>
  <c r="L64" i="15"/>
  <c r="M64" i="15" s="1"/>
  <c r="K72" i="15"/>
  <c r="K37" i="15"/>
  <c r="K50" i="15"/>
  <c r="L44" i="15"/>
  <c r="M44" i="15" s="1"/>
  <c r="K63" i="15"/>
  <c r="L53" i="15"/>
  <c r="L83" i="15"/>
  <c r="M83" i="15" s="1"/>
  <c r="K92" i="15"/>
  <c r="M82" i="15"/>
  <c r="N92" i="15" s="1"/>
  <c r="M93" i="15"/>
  <c r="N98" i="15" s="1"/>
  <c r="K114" i="15"/>
  <c r="L77" i="15"/>
  <c r="M77" i="15" s="1"/>
  <c r="K81" i="15"/>
  <c r="M76" i="15"/>
  <c r="M40" i="15"/>
  <c r="M43" i="15"/>
  <c r="M41" i="15"/>
  <c r="N72" i="15"/>
  <c r="L72" i="15"/>
  <c r="L29" i="15"/>
  <c r="M29" i="15" s="1"/>
  <c r="N37" i="15" s="1"/>
  <c r="L92" i="15" l="1"/>
  <c r="L37" i="15"/>
  <c r="N81" i="15"/>
  <c r="L81" i="15"/>
  <c r="L114" i="15"/>
  <c r="M100" i="15"/>
  <c r="N114" i="15" s="1"/>
  <c r="M53" i="15"/>
  <c r="N63" i="15" s="1"/>
  <c r="L63" i="15"/>
  <c r="L50" i="15"/>
  <c r="M39" i="15"/>
  <c r="N50" i="15" s="1"/>
  <c r="H14" i="15" l="1"/>
  <c r="H15" i="15"/>
  <c r="H16" i="15"/>
  <c r="H17" i="15"/>
  <c r="H18" i="15"/>
  <c r="H19" i="15"/>
  <c r="H20" i="15"/>
  <c r="H21" i="15"/>
  <c r="H22" i="15"/>
  <c r="H23" i="15"/>
  <c r="H24" i="15"/>
  <c r="H25" i="15"/>
  <c r="H13" i="15"/>
  <c r="K13" i="15" s="1"/>
  <c r="L13" i="15" l="1"/>
  <c r="K27" i="15"/>
  <c r="M3" i="15"/>
  <c r="M4" i="15"/>
  <c r="M5" i="15"/>
  <c r="M6" i="15"/>
  <c r="M8" i="15"/>
  <c r="M10" i="15"/>
  <c r="M11" i="15"/>
  <c r="H2" i="15"/>
  <c r="H3" i="15"/>
  <c r="H4" i="15"/>
  <c r="H5" i="15"/>
  <c r="H6" i="15"/>
  <c r="H7" i="15"/>
  <c r="H8" i="15"/>
  <c r="H9" i="15"/>
  <c r="H10" i="15"/>
  <c r="K9" i="15"/>
  <c r="L9" i="15" s="1"/>
  <c r="M9" i="15" s="1"/>
  <c r="K7" i="15"/>
  <c r="L7" i="15" s="1"/>
  <c r="M7" i="15" s="1"/>
  <c r="M13" i="15" l="1"/>
  <c r="N27" i="15" s="1"/>
  <c r="L27" i="15"/>
  <c r="K2" i="15"/>
  <c r="F11" i="15"/>
  <c r="H11" i="15" s="1"/>
  <c r="L2" i="15" l="1"/>
  <c r="L12" i="15" s="1"/>
  <c r="K12" i="15"/>
  <c r="M2" i="15" l="1"/>
  <c r="N12" i="15" s="1"/>
  <c r="K703" i="2"/>
  <c r="L703" i="2" s="1"/>
  <c r="P703" i="2"/>
  <c r="K515" i="2"/>
  <c r="L515" i="2" s="1"/>
  <c r="P515" i="2"/>
  <c r="L230" i="14" l="1"/>
  <c r="M230" i="14" s="1"/>
  <c r="L231" i="14"/>
  <c r="M231" i="14" s="1"/>
  <c r="L232" i="14"/>
  <c r="M232" i="14" s="1"/>
  <c r="L233" i="14"/>
  <c r="M233" i="14" s="1"/>
  <c r="L234" i="14"/>
  <c r="M234" i="14" s="1"/>
  <c r="L235" i="14"/>
  <c r="M235" i="14" s="1"/>
  <c r="L236" i="14"/>
  <c r="M236" i="14" s="1"/>
  <c r="L237" i="14"/>
  <c r="M237" i="14" s="1"/>
  <c r="L238" i="14"/>
  <c r="M238" i="14" s="1"/>
  <c r="L239" i="14"/>
  <c r="M239" i="14" s="1"/>
  <c r="L240" i="14"/>
  <c r="M240" i="14" s="1"/>
  <c r="L241" i="14"/>
  <c r="M241" i="14" s="1"/>
  <c r="L242" i="14"/>
  <c r="M242" i="14" s="1"/>
  <c r="L229" i="14"/>
  <c r="M229" i="14" s="1"/>
  <c r="K243" i="14"/>
  <c r="L243" i="14" l="1"/>
  <c r="N243" i="14"/>
  <c r="H242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29" i="14"/>
  <c r="L210" i="14"/>
  <c r="M210" i="14" s="1"/>
  <c r="L211" i="14"/>
  <c r="M211" i="14" s="1"/>
  <c r="L212" i="14"/>
  <c r="M212" i="14" s="1"/>
  <c r="L213" i="14"/>
  <c r="M213" i="14" s="1"/>
  <c r="L214" i="14"/>
  <c r="M214" i="14" s="1"/>
  <c r="L215" i="14"/>
  <c r="M215" i="14" s="1"/>
  <c r="L216" i="14"/>
  <c r="M216" i="14" s="1"/>
  <c r="L217" i="14"/>
  <c r="M217" i="14" s="1"/>
  <c r="L218" i="14"/>
  <c r="M218" i="14" s="1"/>
  <c r="L219" i="14"/>
  <c r="M219" i="14" s="1"/>
  <c r="L220" i="14"/>
  <c r="M220" i="14" s="1"/>
  <c r="L221" i="14"/>
  <c r="M221" i="14" s="1"/>
  <c r="L222" i="14"/>
  <c r="M222" i="14" s="1"/>
  <c r="L223" i="14"/>
  <c r="M223" i="14" s="1"/>
  <c r="L224" i="14"/>
  <c r="M224" i="14" s="1"/>
  <c r="L225" i="14"/>
  <c r="M225" i="14" s="1"/>
  <c r="L226" i="14"/>
  <c r="M226" i="14" s="1"/>
  <c r="L227" i="14"/>
  <c r="M227" i="14" s="1"/>
  <c r="L209" i="14"/>
  <c r="K228" i="14"/>
  <c r="H222" i="14"/>
  <c r="H223" i="14"/>
  <c r="H224" i="14"/>
  <c r="H225" i="14"/>
  <c r="H226" i="14"/>
  <c r="H227" i="14"/>
  <c r="H221" i="14"/>
  <c r="H220" i="14"/>
  <c r="H210" i="14"/>
  <c r="H211" i="14"/>
  <c r="H212" i="14"/>
  <c r="H213" i="14"/>
  <c r="H214" i="14"/>
  <c r="H215" i="14"/>
  <c r="H216" i="14"/>
  <c r="H217" i="14"/>
  <c r="H218" i="14"/>
  <c r="H219" i="14"/>
  <c r="H209" i="14"/>
  <c r="L198" i="14"/>
  <c r="M198" i="14" s="1"/>
  <c r="L199" i="14"/>
  <c r="M199" i="14" s="1"/>
  <c r="L200" i="14"/>
  <c r="M200" i="14" s="1"/>
  <c r="L201" i="14"/>
  <c r="M201" i="14" s="1"/>
  <c r="L202" i="14"/>
  <c r="M202" i="14" s="1"/>
  <c r="L203" i="14"/>
  <c r="M203" i="14" s="1"/>
  <c r="L204" i="14"/>
  <c r="M204" i="14" s="1"/>
  <c r="L205" i="14"/>
  <c r="M205" i="14" s="1"/>
  <c r="L206" i="14"/>
  <c r="M206" i="14" s="1"/>
  <c r="L207" i="14"/>
  <c r="M207" i="14" s="1"/>
  <c r="L197" i="14"/>
  <c r="K208" i="14"/>
  <c r="L228" i="14" l="1"/>
  <c r="L208" i="14"/>
  <c r="M209" i="14"/>
  <c r="N228" i="14" s="1"/>
  <c r="M197" i="14"/>
  <c r="N208" i="14" s="1"/>
  <c r="H206" i="14" l="1"/>
  <c r="H207" i="14"/>
  <c r="H198" i="14"/>
  <c r="H199" i="14"/>
  <c r="H200" i="14"/>
  <c r="H201" i="14"/>
  <c r="H202" i="14"/>
  <c r="H203" i="14"/>
  <c r="H204" i="14"/>
  <c r="H205" i="14"/>
  <c r="H197" i="14"/>
  <c r="Q196" i="14"/>
  <c r="L188" i="14"/>
  <c r="M188" i="14" s="1"/>
  <c r="L189" i="14"/>
  <c r="M189" i="14" s="1"/>
  <c r="L190" i="14"/>
  <c r="M190" i="14" s="1"/>
  <c r="L191" i="14"/>
  <c r="M191" i="14" s="1"/>
  <c r="L192" i="14"/>
  <c r="M192" i="14" s="1"/>
  <c r="L193" i="14"/>
  <c r="M193" i="14" s="1"/>
  <c r="L194" i="14"/>
  <c r="M194" i="14" s="1"/>
  <c r="L195" i="14"/>
  <c r="M195" i="14" s="1"/>
  <c r="L187" i="14"/>
  <c r="M187" i="14" s="1"/>
  <c r="K196" i="14"/>
  <c r="H188" i="14"/>
  <c r="H189" i="14"/>
  <c r="H190" i="14"/>
  <c r="H191" i="14"/>
  <c r="H192" i="14"/>
  <c r="H193" i="14"/>
  <c r="H194" i="14"/>
  <c r="H195" i="14"/>
  <c r="H187" i="14"/>
  <c r="R186" i="14"/>
  <c r="Q186" i="14"/>
  <c r="L173" i="14"/>
  <c r="M173" i="14" s="1"/>
  <c r="L174" i="14"/>
  <c r="M174" i="14" s="1"/>
  <c r="L175" i="14"/>
  <c r="M175" i="14" s="1"/>
  <c r="L176" i="14"/>
  <c r="M176" i="14" s="1"/>
  <c r="L177" i="14"/>
  <c r="M177" i="14" s="1"/>
  <c r="L178" i="14"/>
  <c r="M178" i="14" s="1"/>
  <c r="L179" i="14"/>
  <c r="M179" i="14" s="1"/>
  <c r="L180" i="14"/>
  <c r="M180" i="14" s="1"/>
  <c r="L181" i="14"/>
  <c r="M181" i="14" s="1"/>
  <c r="L182" i="14"/>
  <c r="M182" i="14" s="1"/>
  <c r="L183" i="14"/>
  <c r="M183" i="14" s="1"/>
  <c r="L184" i="14"/>
  <c r="M184" i="14" s="1"/>
  <c r="L185" i="14"/>
  <c r="M185" i="14" s="1"/>
  <c r="L172" i="14"/>
  <c r="M172" i="14" s="1"/>
  <c r="K186" i="14"/>
  <c r="H181" i="14"/>
  <c r="H182" i="14"/>
  <c r="H183" i="14"/>
  <c r="H184" i="14"/>
  <c r="H185" i="14"/>
  <c r="H180" i="14"/>
  <c r="H173" i="14"/>
  <c r="H174" i="14"/>
  <c r="H175" i="14"/>
  <c r="H176" i="14"/>
  <c r="H177" i="14"/>
  <c r="H172" i="14"/>
  <c r="R171" i="14"/>
  <c r="Q171" i="14"/>
  <c r="L159" i="14"/>
  <c r="M159" i="14" s="1"/>
  <c r="L160" i="14"/>
  <c r="M160" i="14" s="1"/>
  <c r="L161" i="14"/>
  <c r="M161" i="14" s="1"/>
  <c r="L162" i="14"/>
  <c r="M162" i="14" s="1"/>
  <c r="L163" i="14"/>
  <c r="M163" i="14" s="1"/>
  <c r="L164" i="14"/>
  <c r="M164" i="14" s="1"/>
  <c r="L165" i="14"/>
  <c r="M165" i="14" s="1"/>
  <c r="L166" i="14"/>
  <c r="M166" i="14" s="1"/>
  <c r="L167" i="14"/>
  <c r="M167" i="14" s="1"/>
  <c r="L168" i="14"/>
  <c r="M168" i="14" s="1"/>
  <c r="L169" i="14"/>
  <c r="M169" i="14" s="1"/>
  <c r="L170" i="14"/>
  <c r="M170" i="14" s="1"/>
  <c r="L158" i="14"/>
  <c r="M158" i="14" s="1"/>
  <c r="K171" i="14"/>
  <c r="H159" i="14"/>
  <c r="H161" i="14"/>
  <c r="H162" i="14"/>
  <c r="H163" i="14"/>
  <c r="H164" i="14"/>
  <c r="H165" i="14"/>
  <c r="H166" i="14"/>
  <c r="H167" i="14"/>
  <c r="H168" i="14"/>
  <c r="H169" i="14"/>
  <c r="H158" i="14"/>
  <c r="R157" i="14"/>
  <c r="Q157" i="14"/>
  <c r="L141" i="14"/>
  <c r="M141" i="14" s="1"/>
  <c r="L142" i="14"/>
  <c r="M142" i="14" s="1"/>
  <c r="L143" i="14"/>
  <c r="M143" i="14" s="1"/>
  <c r="L144" i="14"/>
  <c r="M144" i="14" s="1"/>
  <c r="L145" i="14"/>
  <c r="M145" i="14" s="1"/>
  <c r="L146" i="14"/>
  <c r="M146" i="14" s="1"/>
  <c r="L147" i="14"/>
  <c r="M147" i="14" s="1"/>
  <c r="L148" i="14"/>
  <c r="M148" i="14" s="1"/>
  <c r="L149" i="14"/>
  <c r="M149" i="14" s="1"/>
  <c r="L150" i="14"/>
  <c r="M150" i="14" s="1"/>
  <c r="L151" i="14"/>
  <c r="M151" i="14" s="1"/>
  <c r="L152" i="14"/>
  <c r="M152" i="14" s="1"/>
  <c r="L153" i="14"/>
  <c r="M153" i="14" s="1"/>
  <c r="L154" i="14"/>
  <c r="M154" i="14" s="1"/>
  <c r="L155" i="14"/>
  <c r="M155" i="14" s="1"/>
  <c r="L156" i="14"/>
  <c r="M156" i="14" s="1"/>
  <c r="L140" i="14"/>
  <c r="M140" i="14" s="1"/>
  <c r="K157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40" i="14"/>
  <c r="L136" i="14"/>
  <c r="M136" i="14" s="1"/>
  <c r="R139" i="14"/>
  <c r="L134" i="14"/>
  <c r="M134" i="14" s="1"/>
  <c r="L135" i="14"/>
  <c r="M135" i="14" s="1"/>
  <c r="L137" i="14"/>
  <c r="M137" i="14" s="1"/>
  <c r="L138" i="14"/>
  <c r="M138" i="14" s="1"/>
  <c r="L133" i="14"/>
  <c r="M133" i="14" s="1"/>
  <c r="K139" i="14"/>
  <c r="H134" i="14"/>
  <c r="H135" i="14"/>
  <c r="H137" i="14"/>
  <c r="H138" i="14"/>
  <c r="H133" i="14"/>
  <c r="R132" i="14"/>
  <c r="Q132" i="14"/>
  <c r="L122" i="14"/>
  <c r="M122" i="14" s="1"/>
  <c r="L123" i="14"/>
  <c r="M123" i="14" s="1"/>
  <c r="L124" i="14"/>
  <c r="M124" i="14" s="1"/>
  <c r="L125" i="14"/>
  <c r="M125" i="14" s="1"/>
  <c r="L126" i="14"/>
  <c r="M126" i="14" s="1"/>
  <c r="L127" i="14"/>
  <c r="M127" i="14" s="1"/>
  <c r="L128" i="14"/>
  <c r="M128" i="14" s="1"/>
  <c r="L129" i="14"/>
  <c r="M129" i="14" s="1"/>
  <c r="L130" i="14"/>
  <c r="M130" i="14" s="1"/>
  <c r="L131" i="14"/>
  <c r="M131" i="14" s="1"/>
  <c r="L121" i="14"/>
  <c r="M121" i="14" s="1"/>
  <c r="K132" i="14"/>
  <c r="L186" i="14" l="1"/>
  <c r="N171" i="14"/>
  <c r="N186" i="14"/>
  <c r="N157" i="14"/>
  <c r="N139" i="14"/>
  <c r="L171" i="14"/>
  <c r="L196" i="14"/>
  <c r="N196" i="14"/>
  <c r="L157" i="14"/>
  <c r="L139" i="14"/>
  <c r="N132" i="14"/>
  <c r="L132" i="14"/>
  <c r="H131" i="14" l="1"/>
  <c r="H122" i="14"/>
  <c r="H123" i="14"/>
  <c r="H124" i="14"/>
  <c r="H125" i="14"/>
  <c r="H126" i="14"/>
  <c r="H127" i="14"/>
  <c r="H128" i="14"/>
  <c r="H129" i="14"/>
  <c r="H130" i="14"/>
  <c r="H121" i="14"/>
  <c r="L110" i="14"/>
  <c r="M110" i="14" s="1"/>
  <c r="L111" i="14"/>
  <c r="M111" i="14" s="1"/>
  <c r="L112" i="14"/>
  <c r="L113" i="14"/>
  <c r="L114" i="14"/>
  <c r="L115" i="14"/>
  <c r="L116" i="14"/>
  <c r="M116" i="14" s="1"/>
  <c r="L117" i="14"/>
  <c r="M117" i="14" s="1"/>
  <c r="L118" i="14"/>
  <c r="M118" i="14" s="1"/>
  <c r="L119" i="14"/>
  <c r="M119" i="14" s="1"/>
  <c r="L109" i="14"/>
  <c r="M109" i="14" s="1"/>
  <c r="H110" i="14"/>
  <c r="H111" i="14"/>
  <c r="H112" i="14"/>
  <c r="H113" i="14"/>
  <c r="H114" i="14"/>
  <c r="H115" i="14"/>
  <c r="H116" i="14"/>
  <c r="H117" i="14"/>
  <c r="H118" i="14"/>
  <c r="H119" i="14"/>
  <c r="H109" i="14"/>
  <c r="M112" i="14"/>
  <c r="M113" i="14"/>
  <c r="M114" i="14"/>
  <c r="K120" i="14"/>
  <c r="L120" i="14" l="1"/>
  <c r="M115" i="14"/>
  <c r="N120" i="14" s="1"/>
  <c r="R11" i="14" l="1"/>
  <c r="R108" i="14"/>
  <c r="Q108" i="14"/>
  <c r="L107" i="14"/>
  <c r="M107" i="14" s="1"/>
  <c r="L100" i="14"/>
  <c r="M100" i="14" s="1"/>
  <c r="L101" i="14"/>
  <c r="M101" i="14" s="1"/>
  <c r="L102" i="14"/>
  <c r="M102" i="14" s="1"/>
  <c r="L103" i="14"/>
  <c r="M103" i="14" s="1"/>
  <c r="L104" i="14"/>
  <c r="M104" i="14" s="1"/>
  <c r="L105" i="14"/>
  <c r="M105" i="14" s="1"/>
  <c r="L106" i="14"/>
  <c r="M106" i="14" s="1"/>
  <c r="L99" i="14"/>
  <c r="M99" i="14" s="1"/>
  <c r="K108" i="14"/>
  <c r="H103" i="14"/>
  <c r="Q98" i="14"/>
  <c r="R98" i="14"/>
  <c r="L83" i="14"/>
  <c r="M83" i="14" s="1"/>
  <c r="L84" i="14"/>
  <c r="M84" i="14" s="1"/>
  <c r="L85" i="14"/>
  <c r="M85" i="14" s="1"/>
  <c r="L86" i="14"/>
  <c r="M86" i="14" s="1"/>
  <c r="L87" i="14"/>
  <c r="M87" i="14" s="1"/>
  <c r="L88" i="14"/>
  <c r="M88" i="14" s="1"/>
  <c r="L89" i="14"/>
  <c r="M89" i="14" s="1"/>
  <c r="L90" i="14"/>
  <c r="M90" i="14" s="1"/>
  <c r="L91" i="14"/>
  <c r="M91" i="14" s="1"/>
  <c r="L92" i="14"/>
  <c r="M92" i="14" s="1"/>
  <c r="L93" i="14"/>
  <c r="M93" i="14" s="1"/>
  <c r="L94" i="14"/>
  <c r="M94" i="14" s="1"/>
  <c r="L95" i="14"/>
  <c r="M95" i="14" s="1"/>
  <c r="L96" i="14"/>
  <c r="M96" i="14" s="1"/>
  <c r="L97" i="14"/>
  <c r="M97" i="14" s="1"/>
  <c r="L82" i="14"/>
  <c r="M82" i="14" s="1"/>
  <c r="K98" i="14"/>
  <c r="N108" i="14" l="1"/>
  <c r="L108" i="14"/>
  <c r="N98" i="14"/>
  <c r="L98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82" i="14"/>
  <c r="Q81" i="14" l="1"/>
  <c r="R81" i="14"/>
  <c r="L60" i="14"/>
  <c r="M60" i="14" s="1"/>
  <c r="L61" i="14"/>
  <c r="M61" i="14" s="1"/>
  <c r="L62" i="14"/>
  <c r="M62" i="14" s="1"/>
  <c r="L63" i="14"/>
  <c r="M63" i="14" s="1"/>
  <c r="L64" i="14"/>
  <c r="M64" i="14" s="1"/>
  <c r="L65" i="14"/>
  <c r="M65" i="14" s="1"/>
  <c r="L66" i="14"/>
  <c r="M66" i="14" s="1"/>
  <c r="L67" i="14"/>
  <c r="M67" i="14" s="1"/>
  <c r="L68" i="14"/>
  <c r="M68" i="14" s="1"/>
  <c r="L69" i="14"/>
  <c r="M69" i="14" s="1"/>
  <c r="L70" i="14"/>
  <c r="M70" i="14" s="1"/>
  <c r="L71" i="14"/>
  <c r="M71" i="14" s="1"/>
  <c r="L72" i="14"/>
  <c r="M72" i="14" s="1"/>
  <c r="L73" i="14"/>
  <c r="M73" i="14" s="1"/>
  <c r="L74" i="14"/>
  <c r="M74" i="14" s="1"/>
  <c r="L75" i="14"/>
  <c r="M75" i="14" s="1"/>
  <c r="L76" i="14"/>
  <c r="M76" i="14" s="1"/>
  <c r="L77" i="14"/>
  <c r="M77" i="14" s="1"/>
  <c r="L78" i="14"/>
  <c r="M78" i="14" s="1"/>
  <c r="L79" i="14"/>
  <c r="M79" i="14" s="1"/>
  <c r="L80" i="14"/>
  <c r="M80" i="14" s="1"/>
  <c r="L59" i="14"/>
  <c r="M59" i="14" s="1"/>
  <c r="K81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98" i="14"/>
  <c r="H99" i="14"/>
  <c r="H100" i="14"/>
  <c r="H101" i="14"/>
  <c r="H102" i="14"/>
  <c r="H104" i="14"/>
  <c r="H105" i="14"/>
  <c r="H106" i="14"/>
  <c r="H107" i="14"/>
  <c r="H59" i="14"/>
  <c r="L56" i="14"/>
  <c r="M56" i="14" s="1"/>
  <c r="L57" i="14"/>
  <c r="M57" i="14" s="1"/>
  <c r="L55" i="14"/>
  <c r="M55" i="14" s="1"/>
  <c r="K58" i="14"/>
  <c r="H56" i="14"/>
  <c r="H57" i="14"/>
  <c r="H55" i="14"/>
  <c r="R54" i="14"/>
  <c r="Q54" i="14"/>
  <c r="K54" i="14"/>
  <c r="L47" i="14"/>
  <c r="M47" i="14" s="1"/>
  <c r="L48" i="14"/>
  <c r="M48" i="14" s="1"/>
  <c r="L49" i="14"/>
  <c r="M49" i="14" s="1"/>
  <c r="L50" i="14"/>
  <c r="M50" i="14" s="1"/>
  <c r="L51" i="14"/>
  <c r="M51" i="14" s="1"/>
  <c r="L52" i="14"/>
  <c r="M52" i="14" s="1"/>
  <c r="L53" i="14"/>
  <c r="M53" i="14" s="1"/>
  <c r="L46" i="14"/>
  <c r="M46" i="14" s="1"/>
  <c r="H50" i="14"/>
  <c r="H51" i="14"/>
  <c r="H52" i="14"/>
  <c r="H53" i="14"/>
  <c r="H48" i="14"/>
  <c r="H49" i="14"/>
  <c r="H46" i="14"/>
  <c r="R45" i="14"/>
  <c r="L39" i="14"/>
  <c r="L40" i="14"/>
  <c r="M40" i="14" s="1"/>
  <c r="L41" i="14"/>
  <c r="M41" i="14" s="1"/>
  <c r="L42" i="14"/>
  <c r="M42" i="14" s="1"/>
  <c r="L43" i="14"/>
  <c r="M43" i="14" s="1"/>
  <c r="L44" i="14"/>
  <c r="M44" i="14" s="1"/>
  <c r="L38" i="14"/>
  <c r="M38" i="14" s="1"/>
  <c r="K45" i="14"/>
  <c r="H39" i="14"/>
  <c r="H40" i="14"/>
  <c r="H41" i="14"/>
  <c r="H42" i="14"/>
  <c r="H43" i="14"/>
  <c r="H44" i="14"/>
  <c r="H45" i="14"/>
  <c r="H38" i="14"/>
  <c r="R37" i="14"/>
  <c r="L32" i="14"/>
  <c r="L33" i="14"/>
  <c r="M33" i="14" s="1"/>
  <c r="L34" i="14"/>
  <c r="M34" i="14" s="1"/>
  <c r="L35" i="14"/>
  <c r="M35" i="14" s="1"/>
  <c r="L36" i="14"/>
  <c r="M36" i="14" s="1"/>
  <c r="L31" i="14"/>
  <c r="M31" i="14" s="1"/>
  <c r="K37" i="14"/>
  <c r="R30" i="14"/>
  <c r="Q30" i="14"/>
  <c r="L22" i="14"/>
  <c r="M22" i="14" s="1"/>
  <c r="L23" i="14"/>
  <c r="M23" i="14" s="1"/>
  <c r="L24" i="14"/>
  <c r="M24" i="14" s="1"/>
  <c r="L25" i="14"/>
  <c r="M25" i="14" s="1"/>
  <c r="L26" i="14"/>
  <c r="M26" i="14" s="1"/>
  <c r="L27" i="14"/>
  <c r="M27" i="14" s="1"/>
  <c r="L28" i="14"/>
  <c r="M28" i="14" s="1"/>
  <c r="L29" i="14"/>
  <c r="M29" i="14" s="1"/>
  <c r="L21" i="14"/>
  <c r="M21" i="14" s="1"/>
  <c r="H22" i="14"/>
  <c r="H23" i="14"/>
  <c r="H24" i="14"/>
  <c r="H25" i="14"/>
  <c r="H26" i="14"/>
  <c r="H27" i="14"/>
  <c r="H21" i="14"/>
  <c r="K30" i="14"/>
  <c r="N58" i="14" l="1"/>
  <c r="L81" i="14"/>
  <c r="N81" i="14"/>
  <c r="L45" i="14"/>
  <c r="N30" i="14"/>
  <c r="M39" i="14"/>
  <c r="N45" i="14" s="1"/>
  <c r="L58" i="14"/>
  <c r="L37" i="14"/>
  <c r="N54" i="14"/>
  <c r="L54" i="14"/>
  <c r="L30" i="14"/>
  <c r="M32" i="14"/>
  <c r="N37" i="14" s="1"/>
  <c r="K20" i="14"/>
  <c r="L19" i="14"/>
  <c r="M19" i="14" s="1"/>
  <c r="L16" i="14"/>
  <c r="M16" i="14" s="1"/>
  <c r="R20" i="14"/>
  <c r="Q20" i="14"/>
  <c r="L13" i="14"/>
  <c r="M13" i="14" s="1"/>
  <c r="L14" i="14"/>
  <c r="M14" i="14" s="1"/>
  <c r="L15" i="14"/>
  <c r="M15" i="14" s="1"/>
  <c r="L17" i="14"/>
  <c r="M17" i="14" s="1"/>
  <c r="L18" i="14"/>
  <c r="M18" i="14" s="1"/>
  <c r="L12" i="14"/>
  <c r="L3" i="14"/>
  <c r="M3" i="14" s="1"/>
  <c r="L4" i="14"/>
  <c r="M4" i="14" s="1"/>
  <c r="L5" i="14"/>
  <c r="M5" i="14" s="1"/>
  <c r="L6" i="14"/>
  <c r="M6" i="14" s="1"/>
  <c r="L7" i="14"/>
  <c r="M7" i="14" s="1"/>
  <c r="L8" i="14"/>
  <c r="M8" i="14" s="1"/>
  <c r="L10" i="14"/>
  <c r="M10" i="14" s="1"/>
  <c r="L2" i="14"/>
  <c r="K11" i="14"/>
  <c r="L20" i="14" l="1"/>
  <c r="L11" i="14"/>
  <c r="M2" i="14"/>
  <c r="N11" i="14" s="1"/>
  <c r="M12" i="14"/>
  <c r="N20" i="14" s="1"/>
  <c r="H3" i="14" l="1"/>
  <c r="H4" i="14"/>
  <c r="H5" i="14"/>
  <c r="H6" i="14"/>
  <c r="H7" i="14"/>
  <c r="H8" i="14"/>
  <c r="H2" i="14"/>
  <c r="R308" i="13" l="1"/>
  <c r="Q308" i="13"/>
  <c r="M297" i="13"/>
  <c r="M298" i="13"/>
  <c r="M299" i="13"/>
  <c r="M300" i="13"/>
  <c r="M301" i="13"/>
  <c r="M302" i="13"/>
  <c r="M303" i="13"/>
  <c r="M304" i="13"/>
  <c r="M305" i="13"/>
  <c r="M307" i="13"/>
  <c r="M296" i="13"/>
  <c r="M306" i="13"/>
  <c r="K308" i="13"/>
  <c r="H297" i="13"/>
  <c r="H298" i="13"/>
  <c r="H299" i="13"/>
  <c r="H300" i="13"/>
  <c r="H301" i="13"/>
  <c r="H302" i="13"/>
  <c r="H296" i="13"/>
  <c r="R295" i="13"/>
  <c r="Q295" i="13"/>
  <c r="L285" i="13"/>
  <c r="M285" i="13" s="1"/>
  <c r="L286" i="13"/>
  <c r="M286" i="13" s="1"/>
  <c r="L287" i="13"/>
  <c r="M287" i="13" s="1"/>
  <c r="L288" i="13"/>
  <c r="M288" i="13" s="1"/>
  <c r="L289" i="13"/>
  <c r="M289" i="13" s="1"/>
  <c r="L290" i="13"/>
  <c r="M290" i="13" s="1"/>
  <c r="L291" i="13"/>
  <c r="M291" i="13" s="1"/>
  <c r="L292" i="13"/>
  <c r="M292" i="13" s="1"/>
  <c r="L293" i="13"/>
  <c r="M293" i="13" s="1"/>
  <c r="L294" i="13"/>
  <c r="M294" i="13" s="1"/>
  <c r="L284" i="13"/>
  <c r="M284" i="13" s="1"/>
  <c r="K295" i="13"/>
  <c r="H294" i="13"/>
  <c r="H285" i="13"/>
  <c r="H286" i="13"/>
  <c r="H287" i="13"/>
  <c r="H288" i="13"/>
  <c r="H289" i="13"/>
  <c r="H290" i="13"/>
  <c r="H291" i="13"/>
  <c r="H292" i="13"/>
  <c r="H293" i="13"/>
  <c r="H284" i="13"/>
  <c r="R283" i="13"/>
  <c r="Q283" i="13"/>
  <c r="M272" i="13"/>
  <c r="M273" i="13"/>
  <c r="M274" i="13"/>
  <c r="M275" i="13"/>
  <c r="M276" i="13"/>
  <c r="M278" i="13"/>
  <c r="M279" i="13"/>
  <c r="M280" i="13"/>
  <c r="M281" i="13"/>
  <c r="M282" i="13"/>
  <c r="M271" i="13"/>
  <c r="H280" i="13"/>
  <c r="H279" i="13"/>
  <c r="H272" i="13"/>
  <c r="H273" i="13"/>
  <c r="H274" i="13"/>
  <c r="H275" i="13"/>
  <c r="H276" i="13"/>
  <c r="H277" i="13"/>
  <c r="K277" i="13" s="1"/>
  <c r="L277" i="13" s="1"/>
  <c r="M277" i="13" s="1"/>
  <c r="H278" i="13"/>
  <c r="H271" i="13"/>
  <c r="R270" i="13"/>
  <c r="Q270" i="13"/>
  <c r="M257" i="13"/>
  <c r="L258" i="13"/>
  <c r="M258" i="13" s="1"/>
  <c r="L259" i="13"/>
  <c r="M259" i="13" s="1"/>
  <c r="L260" i="13"/>
  <c r="M260" i="13" s="1"/>
  <c r="L261" i="13"/>
  <c r="M261" i="13" s="1"/>
  <c r="L262" i="13"/>
  <c r="M262" i="13" s="1"/>
  <c r="L263" i="13"/>
  <c r="M263" i="13" s="1"/>
  <c r="L264" i="13"/>
  <c r="M264" i="13" s="1"/>
  <c r="L265" i="13"/>
  <c r="M265" i="13" s="1"/>
  <c r="L266" i="13"/>
  <c r="M266" i="13" s="1"/>
  <c r="L267" i="13"/>
  <c r="M267" i="13" s="1"/>
  <c r="L268" i="13"/>
  <c r="M268" i="13" s="1"/>
  <c r="L269" i="13"/>
  <c r="M269" i="13" s="1"/>
  <c r="L257" i="13"/>
  <c r="K270" i="13"/>
  <c r="H258" i="13"/>
  <c r="H259" i="13"/>
  <c r="H260" i="13"/>
  <c r="H261" i="13"/>
  <c r="H262" i="13"/>
  <c r="H263" i="13"/>
  <c r="H264" i="13"/>
  <c r="H265" i="13"/>
  <c r="H266" i="13"/>
  <c r="H267" i="13"/>
  <c r="H268" i="13"/>
  <c r="L283" i="13" l="1"/>
  <c r="N295" i="13"/>
  <c r="N270" i="13"/>
  <c r="K283" i="13"/>
  <c r="L270" i="13"/>
  <c r="L308" i="13"/>
  <c r="N308" i="13"/>
  <c r="N283" i="13"/>
  <c r="H257" i="13"/>
  <c r="R256" i="13"/>
  <c r="L248" i="13"/>
  <c r="M248" i="13" s="1"/>
  <c r="L249" i="13"/>
  <c r="M249" i="13" s="1"/>
  <c r="L250" i="13"/>
  <c r="M250" i="13" s="1"/>
  <c r="L251" i="13"/>
  <c r="M251" i="13" s="1"/>
  <c r="L252" i="13"/>
  <c r="M252" i="13" s="1"/>
  <c r="L253" i="13"/>
  <c r="M253" i="13" s="1"/>
  <c r="L254" i="13"/>
  <c r="M254" i="13" s="1"/>
  <c r="L255" i="13"/>
  <c r="M255" i="13" s="1"/>
  <c r="L247" i="13"/>
  <c r="M247" i="13" s="1"/>
  <c r="K256" i="13"/>
  <c r="H253" i="13"/>
  <c r="H248" i="13"/>
  <c r="H249" i="13"/>
  <c r="H250" i="13"/>
  <c r="H251" i="13"/>
  <c r="H252" i="13"/>
  <c r="H247" i="13"/>
  <c r="M238" i="13"/>
  <c r="M239" i="13"/>
  <c r="M240" i="13"/>
  <c r="M242" i="13"/>
  <c r="M243" i="13"/>
  <c r="M244" i="13"/>
  <c r="M235" i="13"/>
  <c r="R246" i="13"/>
  <c r="M236" i="13"/>
  <c r="M241" i="13"/>
  <c r="M245" i="13"/>
  <c r="M237" i="13"/>
  <c r="K246" i="13"/>
  <c r="R234" i="13"/>
  <c r="Q234" i="13"/>
  <c r="L222" i="13"/>
  <c r="M222" i="13" s="1"/>
  <c r="L223" i="13"/>
  <c r="M223" i="13" s="1"/>
  <c r="L224" i="13"/>
  <c r="M224" i="13" s="1"/>
  <c r="L225" i="13"/>
  <c r="M225" i="13" s="1"/>
  <c r="L226" i="13"/>
  <c r="M226" i="13" s="1"/>
  <c r="L227" i="13"/>
  <c r="M227" i="13" s="1"/>
  <c r="L228" i="13"/>
  <c r="M228" i="13" s="1"/>
  <c r="L229" i="13"/>
  <c r="M229" i="13" s="1"/>
  <c r="L230" i="13"/>
  <c r="M230" i="13" s="1"/>
  <c r="L231" i="13"/>
  <c r="M231" i="13" s="1"/>
  <c r="L232" i="13"/>
  <c r="M232" i="13" s="1"/>
  <c r="L233" i="13"/>
  <c r="M233" i="13" s="1"/>
  <c r="L221" i="13"/>
  <c r="M221" i="13" s="1"/>
  <c r="K234" i="13"/>
  <c r="H232" i="13"/>
  <c r="H222" i="13"/>
  <c r="H223" i="13"/>
  <c r="H224" i="13"/>
  <c r="H225" i="13"/>
  <c r="H227" i="13"/>
  <c r="H228" i="13"/>
  <c r="H229" i="13"/>
  <c r="H230" i="13"/>
  <c r="H231" i="13"/>
  <c r="H221" i="13"/>
  <c r="R220" i="13"/>
  <c r="L207" i="13"/>
  <c r="M207" i="13" s="1"/>
  <c r="L208" i="13"/>
  <c r="M208" i="13" s="1"/>
  <c r="L209" i="13"/>
  <c r="M209" i="13" s="1"/>
  <c r="L210" i="13"/>
  <c r="M210" i="13" s="1"/>
  <c r="L211" i="13"/>
  <c r="M211" i="13" s="1"/>
  <c r="L212" i="13"/>
  <c r="M212" i="13" s="1"/>
  <c r="L213" i="13"/>
  <c r="M213" i="13" s="1"/>
  <c r="L214" i="13"/>
  <c r="M214" i="13" s="1"/>
  <c r="L215" i="13"/>
  <c r="M215" i="13" s="1"/>
  <c r="L216" i="13"/>
  <c r="M216" i="13" s="1"/>
  <c r="L217" i="13"/>
  <c r="M217" i="13" s="1"/>
  <c r="L218" i="13"/>
  <c r="M218" i="13" s="1"/>
  <c r="L219" i="13"/>
  <c r="M219" i="13" s="1"/>
  <c r="L206" i="13"/>
  <c r="M206" i="13" s="1"/>
  <c r="K220" i="13"/>
  <c r="N256" i="13" l="1"/>
  <c r="L256" i="13"/>
  <c r="N234" i="13"/>
  <c r="L234" i="13"/>
  <c r="L246" i="13"/>
  <c r="N246" i="13"/>
  <c r="N220" i="13"/>
  <c r="L220" i="13"/>
  <c r="H207" i="13" l="1"/>
  <c r="H208" i="13"/>
  <c r="H209" i="13"/>
  <c r="H210" i="13"/>
  <c r="H211" i="13"/>
  <c r="H212" i="13"/>
  <c r="H213" i="13"/>
  <c r="H214" i="13"/>
  <c r="H206" i="13"/>
  <c r="R205" i="13" l="1"/>
  <c r="M198" i="13"/>
  <c r="M197" i="13"/>
  <c r="M199" i="13"/>
  <c r="M200" i="13"/>
  <c r="M201" i="13"/>
  <c r="M202" i="13"/>
  <c r="M203" i="13"/>
  <c r="M204" i="13"/>
  <c r="M196" i="13"/>
  <c r="K205" i="13"/>
  <c r="L187" i="13"/>
  <c r="M187" i="13" s="1"/>
  <c r="L188" i="13"/>
  <c r="M188" i="13" s="1"/>
  <c r="L189" i="13"/>
  <c r="L190" i="13"/>
  <c r="M190" i="13" s="1"/>
  <c r="L191" i="13"/>
  <c r="M191" i="13" s="1"/>
  <c r="L192" i="13"/>
  <c r="M192" i="13" s="1"/>
  <c r="L193" i="13"/>
  <c r="L194" i="13"/>
  <c r="M194" i="13" s="1"/>
  <c r="L186" i="13"/>
  <c r="M186" i="13" s="1"/>
  <c r="R195" i="13"/>
  <c r="Q195" i="13"/>
  <c r="M189" i="13"/>
  <c r="M193" i="13"/>
  <c r="K195" i="13"/>
  <c r="R185" i="13"/>
  <c r="Q185" i="13"/>
  <c r="L179" i="13"/>
  <c r="M179" i="13" s="1"/>
  <c r="L180" i="13"/>
  <c r="M180" i="13" s="1"/>
  <c r="L181" i="13"/>
  <c r="M181" i="13" s="1"/>
  <c r="L182" i="13"/>
  <c r="M182" i="13" s="1"/>
  <c r="L183" i="13"/>
  <c r="M183" i="13" s="1"/>
  <c r="L184" i="13"/>
  <c r="M184" i="13" s="1"/>
  <c r="L178" i="13"/>
  <c r="M178" i="13" s="1"/>
  <c r="K185" i="13"/>
  <c r="R177" i="13"/>
  <c r="M165" i="13"/>
  <c r="M166" i="13"/>
  <c r="M167" i="13"/>
  <c r="M168" i="13"/>
  <c r="M169" i="13"/>
  <c r="M170" i="13"/>
  <c r="M171" i="13"/>
  <c r="M173" i="13"/>
  <c r="M174" i="13"/>
  <c r="M175" i="13"/>
  <c r="M176" i="13"/>
  <c r="M164" i="13"/>
  <c r="H165" i="13"/>
  <c r="H166" i="13"/>
  <c r="H167" i="13"/>
  <c r="H168" i="13"/>
  <c r="H169" i="13"/>
  <c r="H170" i="13"/>
  <c r="H171" i="13"/>
  <c r="H172" i="13"/>
  <c r="K172" i="13" s="1"/>
  <c r="L172" i="13" s="1"/>
  <c r="M172" i="13" s="1"/>
  <c r="H173" i="13"/>
  <c r="H164" i="13"/>
  <c r="R163" i="13"/>
  <c r="M154" i="13"/>
  <c r="M155" i="13"/>
  <c r="M156" i="13"/>
  <c r="M158" i="13"/>
  <c r="M159" i="13"/>
  <c r="M160" i="13"/>
  <c r="M161" i="13"/>
  <c r="M162" i="13"/>
  <c r="M153" i="13"/>
  <c r="K163" i="13"/>
  <c r="Q152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34" i="13"/>
  <c r="K152" i="13"/>
  <c r="R152" i="13"/>
  <c r="H150" i="13"/>
  <c r="H145" i="13"/>
  <c r="H146" i="13"/>
  <c r="H147" i="13"/>
  <c r="H148" i="13"/>
  <c r="H149" i="13"/>
  <c r="L119" i="13"/>
  <c r="M119" i="13" s="1"/>
  <c r="L120" i="13"/>
  <c r="M120" i="13" s="1"/>
  <c r="L121" i="13"/>
  <c r="M121" i="13" s="1"/>
  <c r="L122" i="13"/>
  <c r="M122" i="13" s="1"/>
  <c r="L123" i="13"/>
  <c r="M123" i="13" s="1"/>
  <c r="L124" i="13"/>
  <c r="M124" i="13" s="1"/>
  <c r="L125" i="13"/>
  <c r="M125" i="13" s="1"/>
  <c r="L126" i="13"/>
  <c r="M126" i="13" s="1"/>
  <c r="L127" i="13"/>
  <c r="L128" i="13"/>
  <c r="M128" i="13" s="1"/>
  <c r="L129" i="13"/>
  <c r="M129" i="13" s="1"/>
  <c r="L130" i="13"/>
  <c r="M130" i="13" s="1"/>
  <c r="L131" i="13"/>
  <c r="M131" i="13" s="1"/>
  <c r="L132" i="13"/>
  <c r="M132" i="13" s="1"/>
  <c r="L118" i="13"/>
  <c r="M118" i="13" s="1"/>
  <c r="K133" i="13"/>
  <c r="M96" i="13"/>
  <c r="M97" i="13"/>
  <c r="M98" i="13"/>
  <c r="M100" i="13"/>
  <c r="M101" i="13"/>
  <c r="M102" i="13"/>
  <c r="M104" i="13"/>
  <c r="M105" i="13"/>
  <c r="M106" i="13"/>
  <c r="M108" i="13"/>
  <c r="M109" i="13"/>
  <c r="M110" i="13"/>
  <c r="M111" i="13"/>
  <c r="M112" i="13"/>
  <c r="M113" i="13"/>
  <c r="M114" i="13"/>
  <c r="M116" i="13"/>
  <c r="M95" i="13"/>
  <c r="L7" i="13"/>
  <c r="M7" i="13" s="1"/>
  <c r="L8" i="13"/>
  <c r="M8" i="13" s="1"/>
  <c r="L9" i="13"/>
  <c r="M9" i="13" s="1"/>
  <c r="L10" i="13"/>
  <c r="M10" i="13" s="1"/>
  <c r="L11" i="13"/>
  <c r="M11" i="13" s="1"/>
  <c r="L12" i="13"/>
  <c r="M12" i="13" s="1"/>
  <c r="L13" i="13"/>
  <c r="M13" i="13" s="1"/>
  <c r="L14" i="13"/>
  <c r="M14" i="13" s="1"/>
  <c r="L15" i="13"/>
  <c r="M15" i="13" s="1"/>
  <c r="L16" i="13"/>
  <c r="M16" i="13" s="1"/>
  <c r="L17" i="13"/>
  <c r="M17" i="13" s="1"/>
  <c r="L18" i="13"/>
  <c r="M18" i="13" s="1"/>
  <c r="L19" i="13"/>
  <c r="M19" i="13" s="1"/>
  <c r="L20" i="13"/>
  <c r="M20" i="13" s="1"/>
  <c r="L21" i="13"/>
  <c r="M21" i="13" s="1"/>
  <c r="L22" i="13"/>
  <c r="M22" i="13" s="1"/>
  <c r="L23" i="13"/>
  <c r="M23" i="13" s="1"/>
  <c r="L24" i="13"/>
  <c r="M24" i="13" s="1"/>
  <c r="L25" i="13"/>
  <c r="M25" i="13" s="1"/>
  <c r="L26" i="13"/>
  <c r="M26" i="13" s="1"/>
  <c r="L27" i="13"/>
  <c r="M27" i="13" s="1"/>
  <c r="L28" i="13"/>
  <c r="M28" i="13" s="1"/>
  <c r="L29" i="13"/>
  <c r="M29" i="13" s="1"/>
  <c r="L30" i="13"/>
  <c r="M30" i="13" s="1"/>
  <c r="L31" i="13"/>
  <c r="M31" i="13" s="1"/>
  <c r="L32" i="13"/>
  <c r="M32" i="13" s="1"/>
  <c r="L33" i="13"/>
  <c r="M33" i="13" s="1"/>
  <c r="L34" i="13"/>
  <c r="M34" i="13" s="1"/>
  <c r="L35" i="13"/>
  <c r="M35" i="13" s="1"/>
  <c r="L36" i="13"/>
  <c r="M36" i="13" s="1"/>
  <c r="L37" i="13"/>
  <c r="M37" i="13" s="1"/>
  <c r="L38" i="13"/>
  <c r="M38" i="13" s="1"/>
  <c r="L39" i="13"/>
  <c r="M39" i="13" s="1"/>
  <c r="L6" i="13"/>
  <c r="M6" i="13" s="1"/>
  <c r="F143" i="13"/>
  <c r="H143" i="13" s="1"/>
  <c r="H135" i="13"/>
  <c r="H136" i="13"/>
  <c r="H137" i="13"/>
  <c r="H138" i="13"/>
  <c r="H139" i="13"/>
  <c r="H140" i="13"/>
  <c r="H141" i="13"/>
  <c r="H142" i="13"/>
  <c r="H144" i="13"/>
  <c r="H134" i="13"/>
  <c r="R133" i="13"/>
  <c r="Q133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18" i="13"/>
  <c r="R117" i="13"/>
  <c r="Q117" i="13"/>
  <c r="M103" i="13"/>
  <c r="M107" i="13"/>
  <c r="M115" i="13"/>
  <c r="K117" i="13"/>
  <c r="H111" i="13"/>
  <c r="H112" i="13"/>
  <c r="H113" i="13"/>
  <c r="H114" i="13"/>
  <c r="H115" i="13"/>
  <c r="H116" i="13"/>
  <c r="H110" i="13"/>
  <c r="H104" i="13"/>
  <c r="H105" i="13"/>
  <c r="H106" i="13"/>
  <c r="H107" i="13"/>
  <c r="H108" i="13"/>
  <c r="H109" i="13"/>
  <c r="H103" i="13"/>
  <c r="H96" i="13"/>
  <c r="H97" i="13"/>
  <c r="H98" i="13"/>
  <c r="H99" i="13"/>
  <c r="H100" i="13"/>
  <c r="H101" i="13"/>
  <c r="H102" i="13"/>
  <c r="H95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71" i="13"/>
  <c r="K94" i="13"/>
  <c r="H88" i="13"/>
  <c r="H89" i="13"/>
  <c r="H90" i="13"/>
  <c r="H91" i="13"/>
  <c r="H92" i="13"/>
  <c r="H93" i="13"/>
  <c r="H87" i="13"/>
  <c r="H79" i="13"/>
  <c r="H80" i="13"/>
  <c r="H81" i="13"/>
  <c r="H82" i="13"/>
  <c r="H83" i="13"/>
  <c r="H84" i="13"/>
  <c r="H85" i="13"/>
  <c r="H86" i="13"/>
  <c r="H78" i="13"/>
  <c r="H72" i="13"/>
  <c r="H73" i="13"/>
  <c r="H74" i="13"/>
  <c r="H75" i="13"/>
  <c r="H76" i="13"/>
  <c r="H77" i="13"/>
  <c r="H71" i="13"/>
  <c r="M42" i="13"/>
  <c r="M43" i="13"/>
  <c r="M44" i="13"/>
  <c r="M45" i="13"/>
  <c r="M46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41" i="13"/>
  <c r="R70" i="13"/>
  <c r="F65" i="13"/>
  <c r="H65" i="13" s="1"/>
  <c r="H63" i="13"/>
  <c r="H64" i="13"/>
  <c r="H66" i="13"/>
  <c r="H67" i="13"/>
  <c r="H68" i="13"/>
  <c r="H69" i="13"/>
  <c r="H52" i="13"/>
  <c r="H53" i="13"/>
  <c r="H54" i="13"/>
  <c r="H55" i="13"/>
  <c r="H56" i="13"/>
  <c r="H57" i="13"/>
  <c r="H58" i="13"/>
  <c r="H59" i="13"/>
  <c r="H60" i="13"/>
  <c r="H61" i="13"/>
  <c r="H62" i="13"/>
  <c r="H51" i="13"/>
  <c r="H42" i="13"/>
  <c r="H43" i="13"/>
  <c r="H44" i="13"/>
  <c r="H45" i="13"/>
  <c r="H46" i="13"/>
  <c r="H47" i="13"/>
  <c r="K47" i="13" s="1"/>
  <c r="L47" i="13" s="1"/>
  <c r="M47" i="13" s="1"/>
  <c r="H48" i="13"/>
  <c r="H49" i="13"/>
  <c r="H50" i="13"/>
  <c r="H41" i="13"/>
  <c r="R40" i="13"/>
  <c r="K40" i="13"/>
  <c r="F38" i="13"/>
  <c r="H38" i="13" s="1"/>
  <c r="H30" i="13"/>
  <c r="H31" i="13"/>
  <c r="H32" i="13"/>
  <c r="H33" i="13"/>
  <c r="H34" i="13"/>
  <c r="H35" i="13"/>
  <c r="H36" i="13"/>
  <c r="H37" i="13"/>
  <c r="H39" i="13"/>
  <c r="H29" i="13"/>
  <c r="K70" i="13" l="1"/>
  <c r="K177" i="13"/>
  <c r="N205" i="13"/>
  <c r="L205" i="13"/>
  <c r="N195" i="13"/>
  <c r="N185" i="13"/>
  <c r="N177" i="13"/>
  <c r="L185" i="13"/>
  <c r="L195" i="13"/>
  <c r="L177" i="13"/>
  <c r="L163" i="13"/>
  <c r="L117" i="13"/>
  <c r="M99" i="13"/>
  <c r="N117" i="13" s="1"/>
  <c r="M157" i="13"/>
  <c r="N163" i="13" s="1"/>
  <c r="L152" i="13"/>
  <c r="N152" i="13"/>
  <c r="L133" i="13"/>
  <c r="M127" i="13"/>
  <c r="N133" i="13" s="1"/>
  <c r="N94" i="13"/>
  <c r="L94" i="13"/>
  <c r="N70" i="13"/>
  <c r="L40" i="13"/>
  <c r="L70" i="13"/>
  <c r="N40" i="13"/>
  <c r="H21" i="13" l="1"/>
  <c r="H17" i="13"/>
  <c r="H18" i="13"/>
  <c r="H19" i="13"/>
  <c r="H20" i="13"/>
  <c r="H22" i="13"/>
  <c r="H23" i="13"/>
  <c r="H24" i="13"/>
  <c r="H25" i="13"/>
  <c r="H26" i="13"/>
  <c r="H27" i="13"/>
  <c r="H28" i="13"/>
  <c r="H8" i="13"/>
  <c r="H16" i="13"/>
  <c r="H7" i="13" l="1"/>
  <c r="H9" i="13"/>
  <c r="H10" i="13"/>
  <c r="H11" i="13"/>
  <c r="H12" i="13"/>
  <c r="H13" i="13"/>
  <c r="H14" i="13"/>
  <c r="H15" i="13"/>
  <c r="H6" i="13"/>
  <c r="L2" i="13"/>
  <c r="L4" i="13"/>
  <c r="M4" i="13" s="1"/>
  <c r="L3" i="13"/>
  <c r="M3" i="13" s="1"/>
  <c r="K5" i="13"/>
  <c r="L5" i="13" l="1"/>
  <c r="M2" i="13"/>
  <c r="H2" i="13"/>
  <c r="Q40" i="13"/>
  <c r="N5" i="13" l="1"/>
  <c r="K318" i="2" l="1"/>
  <c r="K319" i="2"/>
  <c r="K320" i="2"/>
  <c r="K322" i="2"/>
  <c r="K324" i="2"/>
  <c r="K325" i="2"/>
  <c r="K326" i="2"/>
  <c r="K329" i="2"/>
  <c r="K330" i="2"/>
  <c r="K342" i="2"/>
  <c r="K343" i="2"/>
  <c r="K346" i="2"/>
  <c r="K347" i="2"/>
  <c r="K360" i="2"/>
  <c r="K361" i="2"/>
  <c r="K362" i="2"/>
  <c r="K364" i="2"/>
  <c r="K367" i="2"/>
  <c r="K368" i="2"/>
  <c r="K375" i="2"/>
  <c r="K379" i="2"/>
  <c r="K380" i="2"/>
  <c r="K381" i="2"/>
  <c r="K382" i="2"/>
  <c r="J369" i="2"/>
  <c r="K369" i="2" s="1"/>
  <c r="J359" i="2"/>
  <c r="K359" i="2" s="1"/>
  <c r="K222" i="2"/>
  <c r="K226" i="2"/>
  <c r="K227" i="2"/>
  <c r="K231" i="2"/>
  <c r="K233" i="2"/>
  <c r="K234" i="2"/>
  <c r="K238" i="2"/>
  <c r="K240" i="2"/>
  <c r="K246" i="2"/>
  <c r="K250" i="2"/>
  <c r="K251" i="2"/>
  <c r="K252" i="2"/>
  <c r="K253" i="2"/>
  <c r="K170" i="2"/>
  <c r="K174" i="2"/>
  <c r="K175" i="2"/>
  <c r="K176" i="2"/>
  <c r="K177" i="2"/>
  <c r="K178" i="2"/>
  <c r="K180" i="2"/>
  <c r="K181" i="2"/>
  <c r="K182" i="2"/>
  <c r="K183" i="2"/>
  <c r="K187" i="2"/>
  <c r="K190" i="2"/>
  <c r="K191" i="2"/>
  <c r="K196" i="2"/>
  <c r="K169" i="2"/>
  <c r="K119" i="2"/>
  <c r="K125" i="2"/>
  <c r="K129" i="2"/>
  <c r="K130" i="2"/>
  <c r="K131" i="2"/>
  <c r="K132" i="2"/>
  <c r="K135" i="2"/>
  <c r="K136" i="2"/>
  <c r="K137" i="2"/>
  <c r="K140" i="2"/>
  <c r="K141" i="2"/>
  <c r="K142" i="2"/>
  <c r="K144" i="2"/>
  <c r="K147" i="2"/>
  <c r="K148" i="2"/>
  <c r="K151" i="2"/>
  <c r="K155" i="2"/>
  <c r="K157" i="2"/>
  <c r="K162" i="2"/>
  <c r="K163" i="2"/>
  <c r="K164" i="2"/>
  <c r="K118" i="2"/>
  <c r="K50" i="2"/>
  <c r="K51" i="2"/>
  <c r="K52" i="2"/>
  <c r="K56" i="2"/>
  <c r="K57" i="2"/>
  <c r="K58" i="2"/>
  <c r="K61" i="2"/>
  <c r="K62" i="2"/>
  <c r="K63" i="2"/>
  <c r="K65" i="2"/>
  <c r="K66" i="2"/>
  <c r="K67" i="2"/>
  <c r="K71" i="2"/>
  <c r="K72" i="2"/>
  <c r="K77" i="2"/>
  <c r="K78" i="2"/>
  <c r="K80" i="2"/>
  <c r="K85" i="2"/>
  <c r="K86" i="2"/>
  <c r="K87" i="2"/>
  <c r="K700" i="2"/>
  <c r="L700" i="2" s="1"/>
  <c r="K702" i="2"/>
  <c r="L702" i="2" s="1"/>
  <c r="K689" i="2"/>
  <c r="L689" i="2" s="1"/>
  <c r="Q704" i="2"/>
  <c r="G702" i="2"/>
  <c r="P702" i="2" s="1"/>
  <c r="P689" i="2"/>
  <c r="J701" i="2"/>
  <c r="K701" i="2" s="1"/>
  <c r="J697" i="2"/>
  <c r="J699" i="2"/>
  <c r="K699" i="2" s="1"/>
  <c r="L699" i="2" s="1"/>
  <c r="J698" i="2"/>
  <c r="K698" i="2" s="1"/>
  <c r="L698" i="2" s="1"/>
  <c r="J696" i="2"/>
  <c r="K696" i="2" s="1"/>
  <c r="J694" i="2"/>
  <c r="J693" i="2"/>
  <c r="K693" i="2" s="1"/>
  <c r="L693" i="2" s="1"/>
  <c r="J692" i="2"/>
  <c r="K692" i="2" s="1"/>
  <c r="J691" i="2"/>
  <c r="K691" i="2" s="1"/>
  <c r="L691" i="2" s="1"/>
  <c r="J690" i="2"/>
  <c r="K697" i="2" l="1"/>
  <c r="L697" i="2" s="1"/>
  <c r="L701" i="2"/>
  <c r="K694" i="2"/>
  <c r="L694" i="2" s="1"/>
  <c r="K690" i="2"/>
  <c r="L690" i="2" s="1"/>
  <c r="L696" i="2"/>
  <c r="L692" i="2"/>
  <c r="P704" i="2"/>
  <c r="J695" i="2"/>
  <c r="J704" i="2" s="1"/>
  <c r="K482" i="2"/>
  <c r="L482" i="2" s="1"/>
  <c r="K483" i="2"/>
  <c r="L483" i="2" s="1"/>
  <c r="K484" i="2"/>
  <c r="L484" i="2" s="1"/>
  <c r="J475" i="2"/>
  <c r="K475" i="2" s="1"/>
  <c r="L475" i="2" s="1"/>
  <c r="J474" i="2"/>
  <c r="K474" i="2" s="1"/>
  <c r="L474" i="2" s="1"/>
  <c r="K695" i="2" l="1"/>
  <c r="K704" i="2" s="1"/>
  <c r="L695" i="2" l="1"/>
  <c r="M704" i="2" s="1"/>
  <c r="K436" i="2"/>
  <c r="L436" i="2" s="1"/>
  <c r="K438" i="2"/>
  <c r="L438" i="2" s="1"/>
  <c r="K441" i="2"/>
  <c r="L441" i="2" s="1"/>
  <c r="J437" i="2"/>
  <c r="K437" i="2" s="1"/>
  <c r="L437" i="2" s="1"/>
  <c r="J435" i="2"/>
  <c r="K435" i="2" s="1"/>
  <c r="L435" i="2" s="1"/>
  <c r="G440" i="2"/>
  <c r="J440" i="2" s="1"/>
  <c r="K440" i="2" s="1"/>
  <c r="L440" i="2" s="1"/>
  <c r="G441" i="2"/>
  <c r="G442" i="2"/>
  <c r="J442" i="2" s="1"/>
  <c r="K442" i="2" s="1"/>
  <c r="L442" i="2" s="1"/>
  <c r="G443" i="2"/>
  <c r="J443" i="2" s="1"/>
  <c r="K443" i="2" s="1"/>
  <c r="L443" i="2" s="1"/>
  <c r="G444" i="2"/>
  <c r="J444" i="2" s="1"/>
  <c r="K444" i="2" s="1"/>
  <c r="L444" i="2" s="1"/>
  <c r="G445" i="2"/>
  <c r="J445" i="2" s="1"/>
  <c r="K445" i="2" s="1"/>
  <c r="L445" i="2" s="1"/>
  <c r="G439" i="2"/>
  <c r="J439" i="2" s="1"/>
  <c r="K439" i="2" s="1"/>
  <c r="L439" i="2" s="1"/>
  <c r="J434" i="2"/>
  <c r="K434" i="2" s="1"/>
  <c r="P446" i="2"/>
  <c r="K417" i="2"/>
  <c r="L417" i="2" s="1"/>
  <c r="K419" i="2"/>
  <c r="L419" i="2" s="1"/>
  <c r="K422" i="2"/>
  <c r="L422" i="2" s="1"/>
  <c r="K424" i="2"/>
  <c r="L424" i="2" s="1"/>
  <c r="K425" i="2"/>
  <c r="L425" i="2" s="1"/>
  <c r="K427" i="2"/>
  <c r="L427" i="2" s="1"/>
  <c r="J421" i="2"/>
  <c r="K421" i="2" s="1"/>
  <c r="L421" i="2" s="1"/>
  <c r="J420" i="2"/>
  <c r="K420" i="2" s="1"/>
  <c r="L420" i="2" s="1"/>
  <c r="J418" i="2"/>
  <c r="K418" i="2" s="1"/>
  <c r="L418" i="2" s="1"/>
  <c r="J415" i="2"/>
  <c r="K415" i="2" s="1"/>
  <c r="L415" i="2" s="1"/>
  <c r="J414" i="2"/>
  <c r="K414" i="2" s="1"/>
  <c r="L414" i="2" s="1"/>
  <c r="J413" i="2"/>
  <c r="K413" i="2" s="1"/>
  <c r="L413" i="2" s="1"/>
  <c r="J412" i="2"/>
  <c r="K412" i="2" s="1"/>
  <c r="L412" i="2" s="1"/>
  <c r="J411" i="2"/>
  <c r="K411" i="2" s="1"/>
  <c r="L411" i="2" s="1"/>
  <c r="J410" i="2"/>
  <c r="K410" i="2" s="1"/>
  <c r="L410" i="2" s="1"/>
  <c r="J409" i="2"/>
  <c r="K409" i="2" s="1"/>
  <c r="L409" i="2" s="1"/>
  <c r="J416" i="2"/>
  <c r="K416" i="2" s="1"/>
  <c r="L416" i="2" s="1"/>
  <c r="J408" i="2"/>
  <c r="K408" i="2" s="1"/>
  <c r="L408" i="2" s="1"/>
  <c r="G431" i="2"/>
  <c r="J431" i="2" s="1"/>
  <c r="K431" i="2" s="1"/>
  <c r="L431" i="2" s="1"/>
  <c r="G430" i="2"/>
  <c r="J430" i="2" s="1"/>
  <c r="K430" i="2" s="1"/>
  <c r="L430" i="2" s="1"/>
  <c r="G429" i="2"/>
  <c r="J429" i="2" s="1"/>
  <c r="K429" i="2" s="1"/>
  <c r="L429" i="2" s="1"/>
  <c r="G428" i="2"/>
  <c r="J428" i="2" s="1"/>
  <c r="K428" i="2" s="1"/>
  <c r="L428" i="2" s="1"/>
  <c r="G427" i="2"/>
  <c r="P427" i="2" s="1"/>
  <c r="P432" i="2" s="1"/>
  <c r="G426" i="2"/>
  <c r="J426" i="2" s="1"/>
  <c r="K426" i="2" s="1"/>
  <c r="L426" i="2" s="1"/>
  <c r="G425" i="2"/>
  <c r="G424" i="2"/>
  <c r="G423" i="2"/>
  <c r="J423" i="2" s="1"/>
  <c r="K423" i="2" s="1"/>
  <c r="L423" i="2" s="1"/>
  <c r="J407" i="2"/>
  <c r="K407" i="2" s="1"/>
  <c r="Q687" i="2"/>
  <c r="P687" i="2"/>
  <c r="K682" i="2"/>
  <c r="L682" i="2" s="1"/>
  <c r="K684" i="2"/>
  <c r="L684" i="2" s="1"/>
  <c r="K686" i="2"/>
  <c r="L686" i="2" s="1"/>
  <c r="J683" i="2"/>
  <c r="K683" i="2" s="1"/>
  <c r="L683" i="2" s="1"/>
  <c r="J679" i="2"/>
  <c r="K679" i="2" s="1"/>
  <c r="J681" i="2"/>
  <c r="K681" i="2" s="1"/>
  <c r="L681" i="2" s="1"/>
  <c r="J685" i="2"/>
  <c r="J680" i="2"/>
  <c r="K680" i="2" s="1"/>
  <c r="L680" i="2" s="1"/>
  <c r="Q677" i="2"/>
  <c r="K669" i="2"/>
  <c r="L669" i="2" s="1"/>
  <c r="K670" i="2"/>
  <c r="L670" i="2" s="1"/>
  <c r="K671" i="2"/>
  <c r="L671" i="2" s="1"/>
  <c r="K673" i="2"/>
  <c r="L673" i="2" s="1"/>
  <c r="K675" i="2"/>
  <c r="L675" i="2" s="1"/>
  <c r="P676" i="2"/>
  <c r="J676" i="2"/>
  <c r="K676" i="2" s="1"/>
  <c r="L676" i="2" s="1"/>
  <c r="P675" i="2"/>
  <c r="J672" i="2"/>
  <c r="K672" i="2" s="1"/>
  <c r="L672" i="2" s="1"/>
  <c r="J668" i="2"/>
  <c r="K668" i="2" s="1"/>
  <c r="L668" i="2" s="1"/>
  <c r="J674" i="2"/>
  <c r="K674" i="2" s="1"/>
  <c r="L674" i="2" s="1"/>
  <c r="J663" i="2"/>
  <c r="K663" i="2" s="1"/>
  <c r="L663" i="2" s="1"/>
  <c r="J664" i="2"/>
  <c r="K664" i="2" s="1"/>
  <c r="L664" i="2" s="1"/>
  <c r="J665" i="2"/>
  <c r="K665" i="2" s="1"/>
  <c r="L665" i="2" s="1"/>
  <c r="J666" i="2"/>
  <c r="K666" i="2" s="1"/>
  <c r="L666" i="2" s="1"/>
  <c r="J667" i="2"/>
  <c r="K667" i="2" s="1"/>
  <c r="L667" i="2" s="1"/>
  <c r="P670" i="2"/>
  <c r="P666" i="2"/>
  <c r="J662" i="2"/>
  <c r="K662" i="2" s="1"/>
  <c r="Q660" i="2"/>
  <c r="J639" i="2"/>
  <c r="K639" i="2" s="1"/>
  <c r="L639" i="2" s="1"/>
  <c r="K642" i="2"/>
  <c r="L642" i="2" s="1"/>
  <c r="K643" i="2"/>
  <c r="L643" i="2" s="1"/>
  <c r="K653" i="2"/>
  <c r="L653" i="2" s="1"/>
  <c r="K655" i="2"/>
  <c r="L655" i="2" s="1"/>
  <c r="K656" i="2"/>
  <c r="L656" i="2" s="1"/>
  <c r="P659" i="2"/>
  <c r="J659" i="2"/>
  <c r="K659" i="2" s="1"/>
  <c r="L659" i="2" s="1"/>
  <c r="J658" i="2"/>
  <c r="K658" i="2" s="1"/>
  <c r="L658" i="2" s="1"/>
  <c r="J647" i="2"/>
  <c r="K647" i="2" s="1"/>
  <c r="L647" i="2" s="1"/>
  <c r="J644" i="2"/>
  <c r="K644" i="2" s="1"/>
  <c r="L644" i="2" s="1"/>
  <c r="J641" i="2"/>
  <c r="K641" i="2" s="1"/>
  <c r="L641" i="2" s="1"/>
  <c r="J645" i="2"/>
  <c r="K645" i="2" s="1"/>
  <c r="L645" i="2" s="1"/>
  <c r="J646" i="2"/>
  <c r="K646" i="2" s="1"/>
  <c r="L646" i="2" s="1"/>
  <c r="J648" i="2"/>
  <c r="K648" i="2" s="1"/>
  <c r="L648" i="2" s="1"/>
  <c r="J649" i="2"/>
  <c r="K649" i="2" s="1"/>
  <c r="L649" i="2" s="1"/>
  <c r="J650" i="2"/>
  <c r="K650" i="2" s="1"/>
  <c r="L650" i="2" s="1"/>
  <c r="J651" i="2"/>
  <c r="K651" i="2" s="1"/>
  <c r="L651" i="2" s="1"/>
  <c r="J652" i="2"/>
  <c r="K652" i="2" s="1"/>
  <c r="L652" i="2" s="1"/>
  <c r="J654" i="2"/>
  <c r="K654" i="2" s="1"/>
  <c r="L654" i="2" s="1"/>
  <c r="J657" i="2"/>
  <c r="K657" i="2" s="1"/>
  <c r="L657" i="2" s="1"/>
  <c r="P655" i="2"/>
  <c r="J640" i="2"/>
  <c r="K640" i="2" s="1"/>
  <c r="L640" i="2" s="1"/>
  <c r="J638" i="2"/>
  <c r="K638" i="2" s="1"/>
  <c r="L638" i="2" s="1"/>
  <c r="J637" i="2"/>
  <c r="K637" i="2" s="1"/>
  <c r="L637" i="2" s="1"/>
  <c r="J636" i="2"/>
  <c r="J635" i="2"/>
  <c r="K635" i="2" s="1"/>
  <c r="L635" i="2" s="1"/>
  <c r="K627" i="2"/>
  <c r="K629" i="2"/>
  <c r="K631" i="2"/>
  <c r="K632" i="2"/>
  <c r="J687" i="2" l="1"/>
  <c r="L434" i="2"/>
  <c r="M446" i="2" s="1"/>
  <c r="K446" i="2"/>
  <c r="J446" i="2"/>
  <c r="L407" i="2"/>
  <c r="M432" i="2" s="1"/>
  <c r="K432" i="2"/>
  <c r="K685" i="2"/>
  <c r="L685" i="2" s="1"/>
  <c r="J432" i="2"/>
  <c r="L679" i="2"/>
  <c r="P677" i="2"/>
  <c r="K677" i="2"/>
  <c r="J677" i="2"/>
  <c r="L662" i="2"/>
  <c r="M677" i="2" s="1"/>
  <c r="P660" i="2"/>
  <c r="J660" i="2"/>
  <c r="K636" i="2"/>
  <c r="L636" i="2" s="1"/>
  <c r="M660" i="2" s="1"/>
  <c r="Q633" i="2"/>
  <c r="L627" i="2"/>
  <c r="L629" i="2"/>
  <c r="L631" i="2"/>
  <c r="L632" i="2"/>
  <c r="J630" i="2"/>
  <c r="K630" i="2" s="1"/>
  <c r="L630" i="2" s="1"/>
  <c r="J628" i="2"/>
  <c r="P629" i="2"/>
  <c r="J626" i="2"/>
  <c r="P627" i="2"/>
  <c r="J625" i="2"/>
  <c r="K625" i="2" s="1"/>
  <c r="L625" i="2" s="1"/>
  <c r="M687" i="2" l="1"/>
  <c r="K687" i="2"/>
  <c r="P633" i="2"/>
  <c r="K660" i="2"/>
  <c r="K626" i="2"/>
  <c r="L626" i="2" s="1"/>
  <c r="K628" i="2"/>
  <c r="L628" i="2" s="1"/>
  <c r="J633" i="2"/>
  <c r="K633" i="2" l="1"/>
  <c r="M633" i="2"/>
  <c r="P605" i="2" l="1"/>
  <c r="Q623" i="2" l="1"/>
  <c r="K594" i="2"/>
  <c r="L594" i="2" s="1"/>
  <c r="K596" i="2"/>
  <c r="L596" i="2" s="1"/>
  <c r="K597" i="2"/>
  <c r="L597" i="2" s="1"/>
  <c r="K611" i="2"/>
  <c r="L611" i="2" s="1"/>
  <c r="K615" i="2"/>
  <c r="L615" i="2" s="1"/>
  <c r="K616" i="2"/>
  <c r="L616" i="2" s="1"/>
  <c r="K617" i="2"/>
  <c r="L617" i="2" s="1"/>
  <c r="K618" i="2"/>
  <c r="L618" i="2" s="1"/>
  <c r="K621" i="2"/>
  <c r="L621" i="2" s="1"/>
  <c r="J622" i="2"/>
  <c r="K622" i="2" s="1"/>
  <c r="L622" i="2" s="1"/>
  <c r="P621" i="2"/>
  <c r="J620" i="2"/>
  <c r="K620" i="2" s="1"/>
  <c r="L620" i="2" s="1"/>
  <c r="J619" i="2"/>
  <c r="K619" i="2" s="1"/>
  <c r="L619" i="2" s="1"/>
  <c r="J602" i="2"/>
  <c r="K602" i="2" s="1"/>
  <c r="L602" i="2" s="1"/>
  <c r="J604" i="2"/>
  <c r="K604" i="2" s="1"/>
  <c r="L604" i="2" s="1"/>
  <c r="J603" i="2"/>
  <c r="K603" i="2" s="1"/>
  <c r="L603" i="2" s="1"/>
  <c r="J601" i="2"/>
  <c r="K601" i="2" s="1"/>
  <c r="L601" i="2" s="1"/>
  <c r="J600" i="2"/>
  <c r="K600" i="2" s="1"/>
  <c r="L600" i="2" s="1"/>
  <c r="J599" i="2"/>
  <c r="K599" i="2" s="1"/>
  <c r="L599" i="2" s="1"/>
  <c r="J598" i="2"/>
  <c r="K598" i="2" s="1"/>
  <c r="L598" i="2" s="1"/>
  <c r="J595" i="2"/>
  <c r="K595" i="2" s="1"/>
  <c r="L595" i="2" s="1"/>
  <c r="P597" i="2"/>
  <c r="G607" i="2"/>
  <c r="J607" i="2" s="1"/>
  <c r="K607" i="2" s="1"/>
  <c r="L607" i="2" s="1"/>
  <c r="G608" i="2"/>
  <c r="J608" i="2" s="1"/>
  <c r="K608" i="2" s="1"/>
  <c r="L608" i="2" s="1"/>
  <c r="G609" i="2"/>
  <c r="J609" i="2" s="1"/>
  <c r="K609" i="2" s="1"/>
  <c r="L609" i="2" s="1"/>
  <c r="G610" i="2"/>
  <c r="J610" i="2" s="1"/>
  <c r="K610" i="2" s="1"/>
  <c r="L610" i="2" s="1"/>
  <c r="G611" i="2"/>
  <c r="G612" i="2"/>
  <c r="G613" i="2"/>
  <c r="J613" i="2" s="1"/>
  <c r="K613" i="2" s="1"/>
  <c r="L613" i="2" s="1"/>
  <c r="G614" i="2"/>
  <c r="J614" i="2" s="1"/>
  <c r="K614" i="2" s="1"/>
  <c r="L614" i="2" s="1"/>
  <c r="G615" i="2"/>
  <c r="G616" i="2"/>
  <c r="P616" i="2" s="1"/>
  <c r="G617" i="2"/>
  <c r="P617" i="2" s="1"/>
  <c r="G618" i="2"/>
  <c r="P618" i="2" s="1"/>
  <c r="G606" i="2"/>
  <c r="J606" i="2" s="1"/>
  <c r="K606" i="2" s="1"/>
  <c r="L606" i="2" s="1"/>
  <c r="J612" i="2"/>
  <c r="K612" i="2" s="1"/>
  <c r="L612" i="2" s="1"/>
  <c r="K294" i="2"/>
  <c r="L294" i="2" s="1"/>
  <c r="K300" i="2"/>
  <c r="L300" i="2" s="1"/>
  <c r="K304" i="2"/>
  <c r="L304" i="2" s="1"/>
  <c r="K305" i="2"/>
  <c r="L305" i="2" s="1"/>
  <c r="K306" i="2"/>
  <c r="L306" i="2" s="1"/>
  <c r="K307" i="2"/>
  <c r="L307" i="2" s="1"/>
  <c r="J605" i="2"/>
  <c r="K605" i="2" s="1"/>
  <c r="L605" i="2" s="1"/>
  <c r="J593" i="2"/>
  <c r="K593" i="2" s="1"/>
  <c r="K573" i="2"/>
  <c r="L573" i="2" s="1"/>
  <c r="K577" i="2"/>
  <c r="L577" i="2" s="1"/>
  <c r="K583" i="2"/>
  <c r="L583" i="2" s="1"/>
  <c r="K587" i="2"/>
  <c r="L587" i="2" s="1"/>
  <c r="K588" i="2"/>
  <c r="L588" i="2" s="1"/>
  <c r="K589" i="2"/>
  <c r="L589" i="2" s="1"/>
  <c r="K590" i="2"/>
  <c r="L590" i="2" s="1"/>
  <c r="J576" i="2"/>
  <c r="K576" i="2" s="1"/>
  <c r="L576" i="2" s="1"/>
  <c r="J575" i="2"/>
  <c r="K575" i="2" s="1"/>
  <c r="L575" i="2" s="1"/>
  <c r="J574" i="2"/>
  <c r="K574" i="2" s="1"/>
  <c r="L574" i="2" s="1"/>
  <c r="J572" i="2"/>
  <c r="K572" i="2" s="1"/>
  <c r="L572" i="2" s="1"/>
  <c r="J571" i="2"/>
  <c r="K571" i="2" s="1"/>
  <c r="L571" i="2" s="1"/>
  <c r="J570" i="2"/>
  <c r="K570" i="2" s="1"/>
  <c r="L570" i="2" s="1"/>
  <c r="P573" i="2"/>
  <c r="K623" i="2" l="1"/>
  <c r="P623" i="2"/>
  <c r="J623" i="2"/>
  <c r="L593" i="2"/>
  <c r="M623" i="2" s="1"/>
  <c r="G590" i="2" l="1"/>
  <c r="P590" i="2" s="1"/>
  <c r="G589" i="2"/>
  <c r="P589" i="2" s="1"/>
  <c r="G587" i="2"/>
  <c r="G586" i="2"/>
  <c r="J586" i="2" s="1"/>
  <c r="K586" i="2" s="1"/>
  <c r="L586" i="2" s="1"/>
  <c r="G585" i="2"/>
  <c r="J585" i="2" s="1"/>
  <c r="K585" i="2" s="1"/>
  <c r="L585" i="2" s="1"/>
  <c r="G584" i="2"/>
  <c r="J584" i="2" s="1"/>
  <c r="K584" i="2" s="1"/>
  <c r="L584" i="2" s="1"/>
  <c r="G583" i="2"/>
  <c r="G582" i="2"/>
  <c r="J582" i="2" s="1"/>
  <c r="K582" i="2" s="1"/>
  <c r="L582" i="2" s="1"/>
  <c r="G581" i="2"/>
  <c r="J581" i="2" s="1"/>
  <c r="K581" i="2" s="1"/>
  <c r="L581" i="2" s="1"/>
  <c r="G580" i="2"/>
  <c r="J580" i="2" s="1"/>
  <c r="K580" i="2" s="1"/>
  <c r="L580" i="2" s="1"/>
  <c r="G579" i="2"/>
  <c r="J579" i="2" s="1"/>
  <c r="K579" i="2" s="1"/>
  <c r="L579" i="2" s="1"/>
  <c r="G578" i="2"/>
  <c r="J569" i="2"/>
  <c r="J578" i="2" l="1"/>
  <c r="K578" i="2" s="1"/>
  <c r="L578" i="2" s="1"/>
  <c r="G591" i="2"/>
  <c r="P591" i="2"/>
  <c r="K569" i="2"/>
  <c r="J591" i="2"/>
  <c r="K450" i="2"/>
  <c r="K451" i="2"/>
  <c r="K452" i="2"/>
  <c r="K454" i="2"/>
  <c r="K455" i="2"/>
  <c r="K457" i="2"/>
  <c r="K463" i="2"/>
  <c r="K467" i="2"/>
  <c r="K468" i="2"/>
  <c r="K469" i="2"/>
  <c r="K470" i="2"/>
  <c r="K561" i="2"/>
  <c r="L561" i="2" s="1"/>
  <c r="K564" i="2"/>
  <c r="L564" i="2" s="1"/>
  <c r="K565" i="2"/>
  <c r="L565" i="2" s="1"/>
  <c r="J566" i="2"/>
  <c r="K566" i="2" s="1"/>
  <c r="L566" i="2" s="1"/>
  <c r="P565" i="2"/>
  <c r="P564" i="2"/>
  <c r="J563" i="2"/>
  <c r="K563" i="2" s="1"/>
  <c r="L563" i="2" s="1"/>
  <c r="J562" i="2"/>
  <c r="K562" i="2" s="1"/>
  <c r="L562" i="2" s="1"/>
  <c r="J560" i="2"/>
  <c r="K560" i="2" s="1"/>
  <c r="L560" i="2" s="1"/>
  <c r="J559" i="2"/>
  <c r="K559" i="2" s="1"/>
  <c r="L559" i="2" s="1"/>
  <c r="K550" i="2"/>
  <c r="K555" i="2"/>
  <c r="L555" i="2" s="1"/>
  <c r="K556" i="2"/>
  <c r="L556" i="2" s="1"/>
  <c r="P555" i="2"/>
  <c r="J553" i="2"/>
  <c r="K553" i="2" s="1"/>
  <c r="L553" i="2" s="1"/>
  <c r="J554" i="2"/>
  <c r="K554" i="2" s="1"/>
  <c r="L554" i="2" s="1"/>
  <c r="J552" i="2"/>
  <c r="K552" i="2" s="1"/>
  <c r="L552" i="2" s="1"/>
  <c r="J551" i="2"/>
  <c r="K551" i="2" s="1"/>
  <c r="L551" i="2" s="1"/>
  <c r="J549" i="2"/>
  <c r="K549" i="2" s="1"/>
  <c r="L549" i="2" s="1"/>
  <c r="P548" i="2"/>
  <c r="J548" i="2"/>
  <c r="K548" i="2" s="1"/>
  <c r="L548" i="2" s="1"/>
  <c r="J547" i="2"/>
  <c r="K547" i="2" s="1"/>
  <c r="L547" i="2" s="1"/>
  <c r="P567" i="2" l="1"/>
  <c r="P557" i="2"/>
  <c r="M567" i="2"/>
  <c r="K591" i="2"/>
  <c r="L591" i="2" s="1"/>
  <c r="L569" i="2"/>
  <c r="M591" i="2" s="1"/>
  <c r="K567" i="2"/>
  <c r="J557" i="2"/>
  <c r="J567" i="2"/>
  <c r="K557" i="2"/>
  <c r="L550" i="2"/>
  <c r="M557" i="2" s="1"/>
  <c r="K526" i="2"/>
  <c r="L526" i="2" s="1"/>
  <c r="K529" i="2"/>
  <c r="L529" i="2" s="1"/>
  <c r="K534" i="2"/>
  <c r="L534" i="2" s="1"/>
  <c r="K537" i="2"/>
  <c r="L537" i="2" s="1"/>
  <c r="K538" i="2"/>
  <c r="L538" i="2" s="1"/>
  <c r="K540" i="2"/>
  <c r="L540" i="2" s="1"/>
  <c r="J535" i="2"/>
  <c r="K535" i="2" s="1"/>
  <c r="J533" i="2"/>
  <c r="K533" i="2" s="1"/>
  <c r="L533" i="2" s="1"/>
  <c r="J532" i="2"/>
  <c r="K532" i="2" s="1"/>
  <c r="J531" i="2"/>
  <c r="K531" i="2" s="1"/>
  <c r="L531" i="2" s="1"/>
  <c r="J528" i="2"/>
  <c r="K528" i="2" s="1"/>
  <c r="L528" i="2" s="1"/>
  <c r="J530" i="2"/>
  <c r="K530" i="2" s="1"/>
  <c r="P529" i="2"/>
  <c r="J527" i="2"/>
  <c r="K527" i="2" s="1"/>
  <c r="L527" i="2" s="1"/>
  <c r="G544" i="2"/>
  <c r="J544" i="2" s="1"/>
  <c r="G543" i="2"/>
  <c r="J543" i="2" s="1"/>
  <c r="G542" i="2"/>
  <c r="J542" i="2" s="1"/>
  <c r="G541" i="2"/>
  <c r="J541" i="2" s="1"/>
  <c r="K541" i="2" s="1"/>
  <c r="L541" i="2" s="1"/>
  <c r="G540" i="2"/>
  <c r="P540" i="2" s="1"/>
  <c r="G539" i="2"/>
  <c r="J539" i="2" s="1"/>
  <c r="G538" i="2"/>
  <c r="G537" i="2"/>
  <c r="G536" i="2"/>
  <c r="J536" i="2" s="1"/>
  <c r="J525" i="2"/>
  <c r="K520" i="2"/>
  <c r="L520" i="2" s="1"/>
  <c r="K521" i="2"/>
  <c r="L521" i="2" s="1"/>
  <c r="K522" i="2"/>
  <c r="L522" i="2" s="1"/>
  <c r="P521" i="2"/>
  <c r="P523" i="2" s="1"/>
  <c r="J519" i="2"/>
  <c r="K519" i="2" s="1"/>
  <c r="L519" i="2" s="1"/>
  <c r="J518" i="2"/>
  <c r="K512" i="2"/>
  <c r="L512" i="2" s="1"/>
  <c r="K513" i="2"/>
  <c r="L513" i="2" s="1"/>
  <c r="K514" i="2"/>
  <c r="L514" i="2" s="1"/>
  <c r="P513" i="2"/>
  <c r="K542" i="2" l="1"/>
  <c r="L542" i="2" s="1"/>
  <c r="J545" i="2"/>
  <c r="P545" i="2"/>
  <c r="L532" i="2"/>
  <c r="K525" i="2"/>
  <c r="L530" i="2"/>
  <c r="K544" i="2"/>
  <c r="L544" i="2" s="1"/>
  <c r="K536" i="2"/>
  <c r="L536" i="2" s="1"/>
  <c r="K543" i="2"/>
  <c r="L543" i="2" s="1"/>
  <c r="K539" i="2"/>
  <c r="L539" i="2" s="1"/>
  <c r="L535" i="2"/>
  <c r="J523" i="2"/>
  <c r="K518" i="2"/>
  <c r="K545" i="2" l="1"/>
  <c r="L525" i="2"/>
  <c r="M545" i="2" s="1"/>
  <c r="L518" i="2"/>
  <c r="M523" i="2" s="1"/>
  <c r="K523" i="2"/>
  <c r="G514" i="2" l="1"/>
  <c r="P514" i="2" s="1"/>
  <c r="P516" i="2" s="1"/>
  <c r="J511" i="2"/>
  <c r="K511" i="2" s="1"/>
  <c r="L511" i="2" s="1"/>
  <c r="J510" i="2"/>
  <c r="K510" i="2" s="1"/>
  <c r="L510" i="2" s="1"/>
  <c r="J509" i="2"/>
  <c r="K509" i="2" s="1"/>
  <c r="L509" i="2" s="1"/>
  <c r="J508" i="2" l="1"/>
  <c r="J500" i="2"/>
  <c r="J491" i="2"/>
  <c r="K508" i="2" l="1"/>
  <c r="J516" i="2"/>
  <c r="J501" i="2"/>
  <c r="K501" i="2" s="1"/>
  <c r="L467" i="2"/>
  <c r="L468" i="2"/>
  <c r="L469" i="2"/>
  <c r="L470" i="2"/>
  <c r="G470" i="2"/>
  <c r="P470" i="2" s="1"/>
  <c r="G469" i="2"/>
  <c r="P469" i="2" s="1"/>
  <c r="G467" i="2"/>
  <c r="G466" i="2"/>
  <c r="J466" i="2" s="1"/>
  <c r="K466" i="2" s="1"/>
  <c r="G465" i="2"/>
  <c r="J465" i="2" s="1"/>
  <c r="K465" i="2" s="1"/>
  <c r="G464" i="2"/>
  <c r="J464" i="2" s="1"/>
  <c r="K464" i="2" s="1"/>
  <c r="L463" i="2"/>
  <c r="G463" i="2"/>
  <c r="G462" i="2"/>
  <c r="J462" i="2" s="1"/>
  <c r="K462" i="2" s="1"/>
  <c r="G461" i="2"/>
  <c r="J461" i="2" s="1"/>
  <c r="K461" i="2" s="1"/>
  <c r="G460" i="2"/>
  <c r="J460" i="2" s="1"/>
  <c r="K460" i="2" s="1"/>
  <c r="G459" i="2"/>
  <c r="G458" i="2"/>
  <c r="J458" i="2" s="1"/>
  <c r="K458" i="2" s="1"/>
  <c r="K385" i="2"/>
  <c r="K391" i="2"/>
  <c r="K397" i="2"/>
  <c r="L397" i="2" s="1"/>
  <c r="K401" i="2"/>
  <c r="L401" i="2" s="1"/>
  <c r="K402" i="2"/>
  <c r="L402" i="2" s="1"/>
  <c r="K403" i="2"/>
  <c r="L403" i="2" s="1"/>
  <c r="K404" i="2"/>
  <c r="L404" i="2" s="1"/>
  <c r="G404" i="2"/>
  <c r="P404" i="2" s="1"/>
  <c r="G403" i="2"/>
  <c r="P403" i="2" s="1"/>
  <c r="G401" i="2"/>
  <c r="G400" i="2"/>
  <c r="J400" i="2" s="1"/>
  <c r="K400" i="2" s="1"/>
  <c r="G399" i="2"/>
  <c r="J399" i="2" s="1"/>
  <c r="K399" i="2" s="1"/>
  <c r="G398" i="2"/>
  <c r="J398" i="2" s="1"/>
  <c r="G397" i="2"/>
  <c r="G396" i="2"/>
  <c r="J396" i="2" s="1"/>
  <c r="K396" i="2" s="1"/>
  <c r="G395" i="2"/>
  <c r="J395" i="2" s="1"/>
  <c r="K395" i="2" s="1"/>
  <c r="G394" i="2"/>
  <c r="J394" i="2" s="1"/>
  <c r="G393" i="2"/>
  <c r="J393" i="2" s="1"/>
  <c r="G392" i="2"/>
  <c r="J392" i="2" s="1"/>
  <c r="K392" i="2" s="1"/>
  <c r="L375" i="2"/>
  <c r="L379" i="2"/>
  <c r="L380" i="2"/>
  <c r="L381" i="2"/>
  <c r="L382" i="2"/>
  <c r="G382" i="2"/>
  <c r="P382" i="2" s="1"/>
  <c r="G381" i="2"/>
  <c r="P381" i="2" s="1"/>
  <c r="G379" i="2"/>
  <c r="G378" i="2"/>
  <c r="J378" i="2" s="1"/>
  <c r="K378" i="2" s="1"/>
  <c r="G377" i="2"/>
  <c r="J377" i="2" s="1"/>
  <c r="K377" i="2" s="1"/>
  <c r="G376" i="2"/>
  <c r="J376" i="2" s="1"/>
  <c r="K376" i="2" s="1"/>
  <c r="G375" i="2"/>
  <c r="G374" i="2"/>
  <c r="J374" i="2" s="1"/>
  <c r="K374" i="2" s="1"/>
  <c r="G373" i="2"/>
  <c r="J373" i="2" s="1"/>
  <c r="K373" i="2" s="1"/>
  <c r="G372" i="2"/>
  <c r="J372" i="2" s="1"/>
  <c r="K372" i="2" s="1"/>
  <c r="G371" i="2"/>
  <c r="J371" i="2" s="1"/>
  <c r="K371" i="2" s="1"/>
  <c r="G370" i="2"/>
  <c r="J370" i="2" s="1"/>
  <c r="K370" i="2" s="1"/>
  <c r="G307" i="2"/>
  <c r="P307" i="2" s="1"/>
  <c r="G306" i="2"/>
  <c r="P306" i="2" s="1"/>
  <c r="G304" i="2"/>
  <c r="G303" i="2"/>
  <c r="J303" i="2" s="1"/>
  <c r="K303" i="2" s="1"/>
  <c r="L303" i="2" s="1"/>
  <c r="G302" i="2"/>
  <c r="J302" i="2" s="1"/>
  <c r="K302" i="2" s="1"/>
  <c r="L302" i="2" s="1"/>
  <c r="G301" i="2"/>
  <c r="J301" i="2" s="1"/>
  <c r="K301" i="2" s="1"/>
  <c r="L301" i="2" s="1"/>
  <c r="G300" i="2"/>
  <c r="G299" i="2"/>
  <c r="J299" i="2" s="1"/>
  <c r="K299" i="2" s="1"/>
  <c r="L299" i="2" s="1"/>
  <c r="G298" i="2"/>
  <c r="J298" i="2" s="1"/>
  <c r="K298" i="2" s="1"/>
  <c r="L298" i="2" s="1"/>
  <c r="G297" i="2"/>
  <c r="J297" i="2" s="1"/>
  <c r="K297" i="2" s="1"/>
  <c r="L297" i="2" s="1"/>
  <c r="G296" i="2"/>
  <c r="J296" i="2" s="1"/>
  <c r="K296" i="2" s="1"/>
  <c r="L296" i="2" s="1"/>
  <c r="G295" i="2"/>
  <c r="J295" i="2" s="1"/>
  <c r="K295" i="2" s="1"/>
  <c r="L295" i="2" s="1"/>
  <c r="K273" i="2"/>
  <c r="L273" i="2" s="1"/>
  <c r="G273" i="2"/>
  <c r="P273" i="2" s="1"/>
  <c r="K272" i="2"/>
  <c r="L272" i="2" s="1"/>
  <c r="G272" i="2"/>
  <c r="P272" i="2" s="1"/>
  <c r="K271" i="2"/>
  <c r="L271" i="2" s="1"/>
  <c r="K270" i="2"/>
  <c r="L270" i="2" s="1"/>
  <c r="G270" i="2"/>
  <c r="G269" i="2"/>
  <c r="J269" i="2" s="1"/>
  <c r="K269" i="2" s="1"/>
  <c r="L269" i="2" s="1"/>
  <c r="G268" i="2"/>
  <c r="J268" i="2" s="1"/>
  <c r="K268" i="2" s="1"/>
  <c r="L268" i="2" s="1"/>
  <c r="G267" i="2"/>
  <c r="J267" i="2" s="1"/>
  <c r="K267" i="2" s="1"/>
  <c r="L267" i="2" s="1"/>
  <c r="K266" i="2"/>
  <c r="L266" i="2" s="1"/>
  <c r="G266" i="2"/>
  <c r="G265" i="2"/>
  <c r="J265" i="2" s="1"/>
  <c r="K265" i="2" s="1"/>
  <c r="L265" i="2" s="1"/>
  <c r="G264" i="2"/>
  <c r="J264" i="2" s="1"/>
  <c r="K264" i="2" s="1"/>
  <c r="L264" i="2" s="1"/>
  <c r="G263" i="2"/>
  <c r="J263" i="2" s="1"/>
  <c r="K263" i="2" s="1"/>
  <c r="L263" i="2" s="1"/>
  <c r="G262" i="2"/>
  <c r="J262" i="2" s="1"/>
  <c r="K262" i="2" s="1"/>
  <c r="L262" i="2" s="1"/>
  <c r="G261" i="2"/>
  <c r="J261" i="2" s="1"/>
  <c r="K261" i="2" s="1"/>
  <c r="L261" i="2" s="1"/>
  <c r="L253" i="2"/>
  <c r="G253" i="2"/>
  <c r="P253" i="2" s="1"/>
  <c r="L252" i="2"/>
  <c r="G252" i="2"/>
  <c r="P252" i="2" s="1"/>
  <c r="L251" i="2"/>
  <c r="L250" i="2"/>
  <c r="G250" i="2"/>
  <c r="G249" i="2"/>
  <c r="J249" i="2" s="1"/>
  <c r="G248" i="2"/>
  <c r="J248" i="2" s="1"/>
  <c r="G247" i="2"/>
  <c r="J247" i="2" s="1"/>
  <c r="L246" i="2"/>
  <c r="G246" i="2"/>
  <c r="G245" i="2"/>
  <c r="J245" i="2" s="1"/>
  <c r="G244" i="2"/>
  <c r="J244" i="2" s="1"/>
  <c r="G243" i="2"/>
  <c r="J243" i="2" s="1"/>
  <c r="G242" i="2"/>
  <c r="J242" i="2" s="1"/>
  <c r="G241" i="2"/>
  <c r="J241" i="2" s="1"/>
  <c r="K99" i="2"/>
  <c r="K100" i="2"/>
  <c r="K102" i="2"/>
  <c r="K108" i="2"/>
  <c r="L108" i="2" s="1"/>
  <c r="K112" i="2"/>
  <c r="L112" i="2" s="1"/>
  <c r="K113" i="2"/>
  <c r="L113" i="2" s="1"/>
  <c r="K114" i="2"/>
  <c r="L114" i="2" s="1"/>
  <c r="K115" i="2"/>
  <c r="L115" i="2" s="1"/>
  <c r="J101" i="2"/>
  <c r="K101" i="2" s="1"/>
  <c r="J97" i="2"/>
  <c r="K97" i="2" s="1"/>
  <c r="J95" i="2"/>
  <c r="K95" i="2" s="1"/>
  <c r="G115" i="2"/>
  <c r="P115" i="2" s="1"/>
  <c r="G114" i="2"/>
  <c r="P114" i="2" s="1"/>
  <c r="G112" i="2"/>
  <c r="G111" i="2"/>
  <c r="J111" i="2" s="1"/>
  <c r="G110" i="2"/>
  <c r="J110" i="2" s="1"/>
  <c r="G109" i="2"/>
  <c r="J109" i="2" s="1"/>
  <c r="K109" i="2" s="1"/>
  <c r="G108" i="2"/>
  <c r="G107" i="2"/>
  <c r="J107" i="2" s="1"/>
  <c r="G106" i="2"/>
  <c r="J106" i="2" s="1"/>
  <c r="K106" i="2" s="1"/>
  <c r="G105" i="2"/>
  <c r="J105" i="2" s="1"/>
  <c r="G104" i="2"/>
  <c r="J104" i="2" s="1"/>
  <c r="G103" i="2"/>
  <c r="J103" i="2" s="1"/>
  <c r="K17" i="2"/>
  <c r="L17" i="2" s="1"/>
  <c r="K19" i="2"/>
  <c r="L19" i="2" s="1"/>
  <c r="K21" i="2"/>
  <c r="L21" i="2" s="1"/>
  <c r="K22" i="2"/>
  <c r="L22" i="2" s="1"/>
  <c r="K23" i="2"/>
  <c r="L23" i="2" s="1"/>
  <c r="K28" i="2"/>
  <c r="L28" i="2" s="1"/>
  <c r="K29" i="2"/>
  <c r="L29" i="2" s="1"/>
  <c r="K30" i="2"/>
  <c r="L30" i="2" s="1"/>
  <c r="K36" i="2"/>
  <c r="L36" i="2" s="1"/>
  <c r="K40" i="2"/>
  <c r="L40" i="2" s="1"/>
  <c r="K41" i="2"/>
  <c r="L41" i="2" s="1"/>
  <c r="K42" i="2"/>
  <c r="L42" i="2" s="1"/>
  <c r="K43" i="2"/>
  <c r="L43" i="2" s="1"/>
  <c r="J366" i="2"/>
  <c r="K366" i="2" s="1"/>
  <c r="J365" i="2"/>
  <c r="K365" i="2" s="1"/>
  <c r="J363" i="2"/>
  <c r="K363" i="2" s="1"/>
  <c r="J292" i="2"/>
  <c r="K292" i="2" s="1"/>
  <c r="L292" i="2" s="1"/>
  <c r="J390" i="2"/>
  <c r="K390" i="2" s="1"/>
  <c r="J388" i="2"/>
  <c r="K388" i="2" s="1"/>
  <c r="J481" i="2"/>
  <c r="K481" i="2" s="1"/>
  <c r="L481" i="2" s="1"/>
  <c r="J480" i="2"/>
  <c r="K480" i="2" s="1"/>
  <c r="L480" i="2" s="1"/>
  <c r="J479" i="2"/>
  <c r="K479" i="2" s="1"/>
  <c r="L479" i="2" s="1"/>
  <c r="J478" i="2"/>
  <c r="K478" i="2" s="1"/>
  <c r="L478" i="2" s="1"/>
  <c r="J477" i="2"/>
  <c r="K477" i="2" s="1"/>
  <c r="L477" i="2" s="1"/>
  <c r="J476" i="2"/>
  <c r="K476" i="2" s="1"/>
  <c r="L476" i="2" s="1"/>
  <c r="J473" i="2"/>
  <c r="K489" i="2"/>
  <c r="L489" i="2" s="1"/>
  <c r="K491" i="2"/>
  <c r="L491" i="2" s="1"/>
  <c r="K495" i="2"/>
  <c r="L495" i="2" s="1"/>
  <c r="K496" i="2"/>
  <c r="L496" i="2" s="1"/>
  <c r="K497" i="2"/>
  <c r="L497" i="2" s="1"/>
  <c r="K500" i="2"/>
  <c r="L500" i="2" s="1"/>
  <c r="K503" i="2"/>
  <c r="L503" i="2" s="1"/>
  <c r="K504" i="2"/>
  <c r="L504" i="2" s="1"/>
  <c r="J505" i="2"/>
  <c r="K505" i="2" s="1"/>
  <c r="L505" i="2" s="1"/>
  <c r="J502" i="2"/>
  <c r="K502" i="2" s="1"/>
  <c r="J499" i="2"/>
  <c r="K499" i="2" s="1"/>
  <c r="L499" i="2" s="1"/>
  <c r="J498" i="2"/>
  <c r="K498" i="2" s="1"/>
  <c r="L498" i="2" s="1"/>
  <c r="J494" i="2"/>
  <c r="K494" i="2" s="1"/>
  <c r="J493" i="2"/>
  <c r="K493" i="2" s="1"/>
  <c r="J492" i="2"/>
  <c r="J490" i="2"/>
  <c r="J488" i="2"/>
  <c r="K488" i="2" s="1"/>
  <c r="L488" i="2" s="1"/>
  <c r="J487" i="2"/>
  <c r="K487" i="2" s="1"/>
  <c r="L487" i="2" s="1"/>
  <c r="P505" i="2"/>
  <c r="K243" i="2" l="1"/>
  <c r="L243" i="2" s="1"/>
  <c r="K244" i="2"/>
  <c r="L244" i="2" s="1"/>
  <c r="K247" i="2"/>
  <c r="L247" i="2" s="1"/>
  <c r="K241" i="2"/>
  <c r="L241" i="2" s="1"/>
  <c r="K245" i="2"/>
  <c r="L245" i="2" s="1"/>
  <c r="K248" i="2"/>
  <c r="L248" i="2" s="1"/>
  <c r="K242" i="2"/>
  <c r="L242" i="2" s="1"/>
  <c r="K249" i="2"/>
  <c r="L249" i="2" s="1"/>
  <c r="K473" i="2"/>
  <c r="J485" i="2"/>
  <c r="J506" i="2"/>
  <c r="L508" i="2"/>
  <c r="M516" i="2" s="1"/>
  <c r="K516" i="2"/>
  <c r="L516" i="2" s="1"/>
  <c r="K103" i="2"/>
  <c r="L103" i="2" s="1"/>
  <c r="K107" i="2"/>
  <c r="L107" i="2" s="1"/>
  <c r="L377" i="2"/>
  <c r="K104" i="2"/>
  <c r="L104" i="2" s="1"/>
  <c r="K105" i="2"/>
  <c r="L105" i="2" s="1"/>
  <c r="L376" i="2"/>
  <c r="K492" i="2"/>
  <c r="L492" i="2" s="1"/>
  <c r="L371" i="2"/>
  <c r="L462" i="2"/>
  <c r="L465" i="2"/>
  <c r="L461" i="2"/>
  <c r="K111" i="2"/>
  <c r="L111" i="2" s="1"/>
  <c r="L395" i="2"/>
  <c r="K398" i="2"/>
  <c r="L398" i="2" s="1"/>
  <c r="K394" i="2"/>
  <c r="L394" i="2" s="1"/>
  <c r="J459" i="2"/>
  <c r="K490" i="2"/>
  <c r="L490" i="2" s="1"/>
  <c r="K110" i="2"/>
  <c r="L110" i="2" s="1"/>
  <c r="L373" i="2"/>
  <c r="K393" i="2"/>
  <c r="L393" i="2" s="1"/>
  <c r="L460" i="2"/>
  <c r="L494" i="2"/>
  <c r="L502" i="2"/>
  <c r="L458" i="2"/>
  <c r="L464" i="2"/>
  <c r="L466" i="2"/>
  <c r="L392" i="2"/>
  <c r="L396" i="2"/>
  <c r="L399" i="2"/>
  <c r="L400" i="2"/>
  <c r="L372" i="2"/>
  <c r="L370" i="2"/>
  <c r="L374" i="2"/>
  <c r="L378" i="2"/>
  <c r="L106" i="2"/>
  <c r="L109" i="2"/>
  <c r="L501" i="2"/>
  <c r="L493" i="2"/>
  <c r="K459" i="2" l="1"/>
  <c r="L459" i="2" s="1"/>
  <c r="M506" i="2"/>
  <c r="Q506" i="2"/>
  <c r="P496" i="2"/>
  <c r="P506" i="2" s="1"/>
  <c r="L388" i="2"/>
  <c r="L391" i="2"/>
  <c r="L390" i="2"/>
  <c r="J389" i="2"/>
  <c r="J387" i="2"/>
  <c r="K387" i="2" s="1"/>
  <c r="L387" i="2" s="1"/>
  <c r="J386" i="2"/>
  <c r="P385" i="2"/>
  <c r="K389" i="2" l="1"/>
  <c r="L389" i="2" s="1"/>
  <c r="K386" i="2"/>
  <c r="L386" i="2" s="1"/>
  <c r="L385" i="2"/>
  <c r="K506" i="2"/>
  <c r="L506" i="2" s="1"/>
  <c r="J384" i="2" l="1"/>
  <c r="K384" i="2" s="1"/>
  <c r="P484" i="2"/>
  <c r="P482" i="2"/>
  <c r="Q485" i="2"/>
  <c r="L384" i="2" l="1"/>
  <c r="M405" i="2" s="1"/>
  <c r="P405" i="2"/>
  <c r="K485" i="2"/>
  <c r="L485" i="2" s="1"/>
  <c r="P485" i="2"/>
  <c r="L473" i="2"/>
  <c r="M485" i="2" s="1"/>
  <c r="L318" i="2"/>
  <c r="L319" i="2"/>
  <c r="L320" i="2"/>
  <c r="L322" i="2"/>
  <c r="L324" i="2"/>
  <c r="L325" i="2"/>
  <c r="L326" i="2"/>
  <c r="L329" i="2"/>
  <c r="L330" i="2"/>
  <c r="L342" i="2"/>
  <c r="L343" i="2"/>
  <c r="L346" i="2"/>
  <c r="L347" i="2"/>
  <c r="L360" i="2"/>
  <c r="L361" i="2"/>
  <c r="L362" i="2"/>
  <c r="L364" i="2"/>
  <c r="L367" i="2"/>
  <c r="L368" i="2"/>
  <c r="L369" i="2"/>
  <c r="P364" i="2"/>
  <c r="Q359" i="2"/>
  <c r="L366" i="2"/>
  <c r="L363" i="2"/>
  <c r="L359" i="2"/>
  <c r="J358" i="2"/>
  <c r="K358" i="2" s="1"/>
  <c r="J356" i="2"/>
  <c r="K356" i="2" s="1"/>
  <c r="G326" i="2"/>
  <c r="G339" i="2"/>
  <c r="G354" i="2"/>
  <c r="J354" i="2" s="1"/>
  <c r="K354" i="2" s="1"/>
  <c r="G353" i="2"/>
  <c r="J353" i="2" s="1"/>
  <c r="K353" i="2" s="1"/>
  <c r="G352" i="2"/>
  <c r="J352" i="2" s="1"/>
  <c r="K352" i="2" s="1"/>
  <c r="G351" i="2"/>
  <c r="J351" i="2" s="1"/>
  <c r="K351" i="2" s="1"/>
  <c r="G350" i="2"/>
  <c r="G349" i="2"/>
  <c r="J349" i="2" s="1"/>
  <c r="K349" i="2" s="1"/>
  <c r="G348" i="2"/>
  <c r="G347" i="2"/>
  <c r="G346" i="2"/>
  <c r="G345" i="2"/>
  <c r="G344" i="2"/>
  <c r="G343" i="2"/>
  <c r="G342" i="2"/>
  <c r="P342" i="2" s="1"/>
  <c r="G341" i="2"/>
  <c r="J341" i="2" s="1"/>
  <c r="K341" i="2" s="1"/>
  <c r="G340" i="2"/>
  <c r="J340" i="2" s="1"/>
  <c r="K340" i="2" s="1"/>
  <c r="Q348" i="2" l="1"/>
  <c r="J348" i="2"/>
  <c r="K348" i="2" s="1"/>
  <c r="L348" i="2" s="1"/>
  <c r="L351" i="2"/>
  <c r="L352" i="2"/>
  <c r="L340" i="2"/>
  <c r="L341" i="2"/>
  <c r="J345" i="2"/>
  <c r="L349" i="2"/>
  <c r="L353" i="2"/>
  <c r="L356" i="2"/>
  <c r="J339" i="2"/>
  <c r="J350" i="2"/>
  <c r="L354" i="2"/>
  <c r="L358" i="2"/>
  <c r="J405" i="2"/>
  <c r="K405" i="2"/>
  <c r="L405" i="2" s="1"/>
  <c r="L365" i="2"/>
  <c r="J357" i="2"/>
  <c r="K357" i="2" s="1"/>
  <c r="J344" i="2"/>
  <c r="K344" i="2" s="1"/>
  <c r="K345" i="2" l="1"/>
  <c r="L345" i="2" s="1"/>
  <c r="K350" i="2"/>
  <c r="L350" i="2" s="1"/>
  <c r="K339" i="2"/>
  <c r="L339" i="2" s="1"/>
  <c r="L357" i="2"/>
  <c r="L344" i="2"/>
  <c r="G338" i="2"/>
  <c r="G337" i="2"/>
  <c r="G336" i="2"/>
  <c r="J336" i="2" s="1"/>
  <c r="K336" i="2" s="1"/>
  <c r="G335" i="2"/>
  <c r="G334" i="2"/>
  <c r="J334" i="2" s="1"/>
  <c r="K334" i="2" s="1"/>
  <c r="G333" i="2"/>
  <c r="G332" i="2"/>
  <c r="G355" i="2"/>
  <c r="J355" i="2" s="1"/>
  <c r="K355" i="2" s="1"/>
  <c r="G331" i="2"/>
  <c r="G330" i="2"/>
  <c r="G329" i="2"/>
  <c r="G328" i="2"/>
  <c r="G327" i="2"/>
  <c r="J327" i="2" s="1"/>
  <c r="K327" i="2" s="1"/>
  <c r="G325" i="2"/>
  <c r="G324" i="2"/>
  <c r="P324" i="2" s="1"/>
  <c r="G323" i="2"/>
  <c r="J323" i="2" s="1"/>
  <c r="K323" i="2" s="1"/>
  <c r="G322" i="2"/>
  <c r="G321" i="2"/>
  <c r="J321" i="2" s="1"/>
  <c r="K321" i="2" s="1"/>
  <c r="G320" i="2"/>
  <c r="P320" i="2" s="1"/>
  <c r="G319" i="2"/>
  <c r="G318" i="2"/>
  <c r="G317" i="2"/>
  <c r="J317" i="2" s="1"/>
  <c r="K317" i="2" s="1"/>
  <c r="G316" i="2"/>
  <c r="J316" i="2" s="1"/>
  <c r="K316" i="2" s="1"/>
  <c r="G315" i="2"/>
  <c r="J315" i="2" s="1"/>
  <c r="K315" i="2" s="1"/>
  <c r="J314" i="2"/>
  <c r="K314" i="2" s="1"/>
  <c r="Q331" i="2" l="1"/>
  <c r="Q383" i="2" s="1"/>
  <c r="J331" i="2"/>
  <c r="K331" i="2" s="1"/>
  <c r="L331" i="2" s="1"/>
  <c r="L315" i="2"/>
  <c r="L355" i="2"/>
  <c r="L316" i="2"/>
  <c r="J332" i="2"/>
  <c r="L336" i="2"/>
  <c r="L327" i="2"/>
  <c r="J328" i="2"/>
  <c r="J335" i="2"/>
  <c r="L317" i="2"/>
  <c r="J333" i="2"/>
  <c r="L323" i="2"/>
  <c r="L321" i="2"/>
  <c r="P383" i="2"/>
  <c r="L334" i="2"/>
  <c r="J337" i="2"/>
  <c r="K337" i="2" s="1"/>
  <c r="J338" i="2"/>
  <c r="K338" i="2" s="1"/>
  <c r="J311" i="2"/>
  <c r="K311" i="2" s="1"/>
  <c r="J310" i="2"/>
  <c r="K310" i="2" s="1"/>
  <c r="Q312" i="2"/>
  <c r="Q308" i="2"/>
  <c r="Q471" i="2"/>
  <c r="L457" i="2"/>
  <c r="J456" i="2"/>
  <c r="K456" i="2" s="1"/>
  <c r="P455" i="2"/>
  <c r="L455" i="2"/>
  <c r="P454" i="2"/>
  <c r="L454" i="2"/>
  <c r="J453" i="2"/>
  <c r="K453" i="2" s="1"/>
  <c r="L452" i="2"/>
  <c r="L451" i="2"/>
  <c r="L450" i="2"/>
  <c r="J449" i="2"/>
  <c r="K449" i="2" s="1"/>
  <c r="J448" i="2"/>
  <c r="K448" i="2" s="1"/>
  <c r="K333" i="2" l="1"/>
  <c r="L333" i="2" s="1"/>
  <c r="K335" i="2"/>
  <c r="L335" i="2" s="1"/>
  <c r="K332" i="2"/>
  <c r="L332" i="2" s="1"/>
  <c r="K328" i="2"/>
  <c r="L328" i="2" s="1"/>
  <c r="L337" i="2"/>
  <c r="L456" i="2"/>
  <c r="L338" i="2"/>
  <c r="L448" i="2"/>
  <c r="L449" i="2"/>
  <c r="L453" i="2"/>
  <c r="J383" i="2"/>
  <c r="K312" i="2"/>
  <c r="L314" i="2"/>
  <c r="L310" i="2"/>
  <c r="L311" i="2"/>
  <c r="P312" i="2"/>
  <c r="J312" i="2"/>
  <c r="P471" i="2"/>
  <c r="K293" i="2"/>
  <c r="L293" i="2" s="1"/>
  <c r="J291" i="2"/>
  <c r="K281" i="2"/>
  <c r="L281" i="2" s="1"/>
  <c r="K282" i="2"/>
  <c r="L282" i="2" s="1"/>
  <c r="K284" i="2"/>
  <c r="L284" i="2" s="1"/>
  <c r="G288" i="2"/>
  <c r="J288" i="2" s="1"/>
  <c r="K288" i="2" s="1"/>
  <c r="G287" i="2"/>
  <c r="J287" i="2" s="1"/>
  <c r="G286" i="2"/>
  <c r="J286" i="2" s="1"/>
  <c r="K286" i="2" s="1"/>
  <c r="G285" i="2"/>
  <c r="J285" i="2" s="1"/>
  <c r="K285" i="2" s="1"/>
  <c r="G284" i="2"/>
  <c r="P284" i="2" s="1"/>
  <c r="P289" i="2" s="1"/>
  <c r="G283" i="2"/>
  <c r="J283" i="2" s="1"/>
  <c r="G282" i="2"/>
  <c r="G281" i="2"/>
  <c r="G280" i="2"/>
  <c r="J280" i="2" s="1"/>
  <c r="K280" i="2" s="1"/>
  <c r="Q289" i="2"/>
  <c r="G279" i="2"/>
  <c r="G278" i="2"/>
  <c r="J278" i="2" s="1"/>
  <c r="G277" i="2"/>
  <c r="J277" i="2" s="1"/>
  <c r="K277" i="2" s="1"/>
  <c r="J276" i="2"/>
  <c r="K276" i="2" s="1"/>
  <c r="K257" i="2"/>
  <c r="L257" i="2" s="1"/>
  <c r="G257" i="2"/>
  <c r="G258" i="2"/>
  <c r="J258" i="2" s="1"/>
  <c r="G259" i="2"/>
  <c r="J259" i="2" s="1"/>
  <c r="K259" i="2" s="1"/>
  <c r="G260" i="2"/>
  <c r="G256" i="2"/>
  <c r="J256" i="2" s="1"/>
  <c r="K256" i="2" s="1"/>
  <c r="Q274" i="2"/>
  <c r="L222" i="2"/>
  <c r="L226" i="2"/>
  <c r="L227" i="2"/>
  <c r="L231" i="2"/>
  <c r="L233" i="2"/>
  <c r="L234" i="2"/>
  <c r="L238" i="2"/>
  <c r="L240" i="2"/>
  <c r="G240" i="2"/>
  <c r="K291" i="2" l="1"/>
  <c r="K308" i="2" s="1"/>
  <c r="L308" i="2" s="1"/>
  <c r="J308" i="2"/>
  <c r="K383" i="2"/>
  <c r="M383" i="2"/>
  <c r="J260" i="2"/>
  <c r="K260" i="2" s="1"/>
  <c r="L260" i="2" s="1"/>
  <c r="J279" i="2"/>
  <c r="J289" i="2" s="1"/>
  <c r="K471" i="2"/>
  <c r="M471" i="2"/>
  <c r="J471" i="2"/>
  <c r="M312" i="2"/>
  <c r="P308" i="2"/>
  <c r="L286" i="2"/>
  <c r="K287" i="2"/>
  <c r="L287" i="2" s="1"/>
  <c r="K283" i="2"/>
  <c r="L283" i="2" s="1"/>
  <c r="K278" i="2"/>
  <c r="L278" i="2" s="1"/>
  <c r="L288" i="2"/>
  <c r="L277" i="2"/>
  <c r="L280" i="2"/>
  <c r="L285" i="2"/>
  <c r="K258" i="2"/>
  <c r="L258" i="2" s="1"/>
  <c r="L259" i="2"/>
  <c r="P274" i="2"/>
  <c r="J274" i="2" l="1"/>
  <c r="K279" i="2"/>
  <c r="L279" i="2" s="1"/>
  <c r="L291" i="2"/>
  <c r="M308" i="2" s="1"/>
  <c r="L276" i="2"/>
  <c r="K274" i="2"/>
  <c r="L256" i="2"/>
  <c r="K289" i="2" l="1"/>
  <c r="M289" i="2"/>
  <c r="M274" i="2"/>
  <c r="G221" i="2" l="1"/>
  <c r="J221" i="2" s="1"/>
  <c r="G222" i="2"/>
  <c r="G223" i="2"/>
  <c r="J223" i="2" s="1"/>
  <c r="G224" i="2"/>
  <c r="J224" i="2" s="1"/>
  <c r="G225" i="2"/>
  <c r="J225" i="2" s="1"/>
  <c r="G226" i="2"/>
  <c r="P226" i="2" s="1"/>
  <c r="G227" i="2"/>
  <c r="G228" i="2"/>
  <c r="J228" i="2" s="1"/>
  <c r="G229" i="2"/>
  <c r="J229" i="2" s="1"/>
  <c r="G230" i="2"/>
  <c r="G231" i="2"/>
  <c r="G232" i="2"/>
  <c r="J232" i="2" s="1"/>
  <c r="G233" i="2"/>
  <c r="G234" i="2"/>
  <c r="P234" i="2" s="1"/>
  <c r="G220" i="2"/>
  <c r="J220" i="2" s="1"/>
  <c r="G239" i="2"/>
  <c r="J239" i="2" s="1"/>
  <c r="G238" i="2"/>
  <c r="P238" i="2" s="1"/>
  <c r="G237" i="2"/>
  <c r="J237" i="2" s="1"/>
  <c r="G236" i="2"/>
  <c r="J236" i="2" s="1"/>
  <c r="G235" i="2"/>
  <c r="J235" i="2" s="1"/>
  <c r="K239" i="2" l="1"/>
  <c r="L239" i="2" s="1"/>
  <c r="K228" i="2"/>
  <c r="L228" i="2" s="1"/>
  <c r="K236" i="2"/>
  <c r="L236" i="2" s="1"/>
  <c r="K223" i="2"/>
  <c r="L223" i="2" s="1"/>
  <c r="Q230" i="2"/>
  <c r="Q254" i="2" s="1"/>
  <c r="J230" i="2"/>
  <c r="K230" i="2" s="1"/>
  <c r="L230" i="2" s="1"/>
  <c r="K235" i="2"/>
  <c r="L235" i="2" s="1"/>
  <c r="K232" i="2"/>
  <c r="L232" i="2" s="1"/>
  <c r="K224" i="2"/>
  <c r="L224" i="2" s="1"/>
  <c r="K220" i="2"/>
  <c r="L220" i="2" s="1"/>
  <c r="K237" i="2"/>
  <c r="L237" i="2" s="1"/>
  <c r="K229" i="2"/>
  <c r="L229" i="2" s="1"/>
  <c r="K225" i="2"/>
  <c r="L225" i="2" s="1"/>
  <c r="K221" i="2"/>
  <c r="L221" i="2" s="1"/>
  <c r="P254" i="2"/>
  <c r="M254" i="2" l="1"/>
  <c r="K254" i="2"/>
  <c r="J254" i="2"/>
  <c r="J96" i="2" l="1"/>
  <c r="K96" i="2" s="1"/>
  <c r="J94" i="2"/>
  <c r="K94" i="2" s="1"/>
  <c r="J93" i="2"/>
  <c r="K93" i="2" s="1"/>
  <c r="J92" i="2"/>
  <c r="K92" i="2" s="1"/>
  <c r="J46" i="2"/>
  <c r="K46" i="2" s="1"/>
  <c r="J18" i="2"/>
  <c r="K18" i="2" s="1"/>
  <c r="L18" i="2" s="1"/>
  <c r="J6" i="2"/>
  <c r="K6" i="2" s="1"/>
  <c r="L6" i="2" s="1"/>
  <c r="J5" i="2"/>
  <c r="Q218" i="2"/>
  <c r="K201" i="2"/>
  <c r="L201" i="2" s="1"/>
  <c r="K206" i="2"/>
  <c r="L206" i="2" s="1"/>
  <c r="K208" i="2"/>
  <c r="L208" i="2" s="1"/>
  <c r="K210" i="2"/>
  <c r="L210" i="2" s="1"/>
  <c r="K211" i="2"/>
  <c r="L211" i="2" s="1"/>
  <c r="K213" i="2"/>
  <c r="L213" i="2" s="1"/>
  <c r="K5" i="2" l="1"/>
  <c r="G210" i="2" l="1"/>
  <c r="G211" i="2"/>
  <c r="G212" i="2"/>
  <c r="J212" i="2" s="1"/>
  <c r="K212" i="2" s="1"/>
  <c r="L212" i="2" s="1"/>
  <c r="G213" i="2"/>
  <c r="P213" i="2" s="1"/>
  <c r="P218" i="2" s="1"/>
  <c r="G214" i="2"/>
  <c r="J214" i="2" s="1"/>
  <c r="K214" i="2" s="1"/>
  <c r="L214" i="2" s="1"/>
  <c r="G215" i="2"/>
  <c r="J215" i="2" s="1"/>
  <c r="K215" i="2" s="1"/>
  <c r="L215" i="2" s="1"/>
  <c r="G216" i="2"/>
  <c r="J216" i="2" s="1"/>
  <c r="K216" i="2" s="1"/>
  <c r="L216" i="2" s="1"/>
  <c r="G217" i="2"/>
  <c r="J217" i="2" s="1"/>
  <c r="K217" i="2" s="1"/>
  <c r="L217" i="2" s="1"/>
  <c r="G209" i="2"/>
  <c r="J209" i="2" s="1"/>
  <c r="K209" i="2" s="1"/>
  <c r="L209" i="2" s="1"/>
  <c r="G200" i="2"/>
  <c r="J200" i="2" s="1"/>
  <c r="K200" i="2" s="1"/>
  <c r="L200" i="2" s="1"/>
  <c r="G201" i="2"/>
  <c r="G202" i="2"/>
  <c r="J202" i="2" s="1"/>
  <c r="K202" i="2" s="1"/>
  <c r="L202" i="2" s="1"/>
  <c r="G203" i="2"/>
  <c r="J203" i="2" s="1"/>
  <c r="K203" i="2" s="1"/>
  <c r="L203" i="2" s="1"/>
  <c r="G204" i="2"/>
  <c r="G205" i="2"/>
  <c r="J204" i="2" s="1"/>
  <c r="K204" i="2" s="1"/>
  <c r="L204" i="2" s="1"/>
  <c r="G206" i="2"/>
  <c r="J205" i="2" s="1"/>
  <c r="K205" i="2" s="1"/>
  <c r="L205" i="2" s="1"/>
  <c r="G207" i="2"/>
  <c r="J207" i="2" s="1"/>
  <c r="K207" i="2" s="1"/>
  <c r="L207" i="2" s="1"/>
  <c r="G208" i="2"/>
  <c r="G199" i="2"/>
  <c r="J199" i="2" s="1"/>
  <c r="K199" i="2" s="1"/>
  <c r="L199" i="2" s="1"/>
  <c r="J218" i="2" l="1"/>
  <c r="L170" i="2"/>
  <c r="L174" i="2"/>
  <c r="L175" i="2"/>
  <c r="L176" i="2"/>
  <c r="L177" i="2"/>
  <c r="L178" i="2"/>
  <c r="L180" i="2"/>
  <c r="L181" i="2"/>
  <c r="L182" i="2"/>
  <c r="L183" i="2"/>
  <c r="L187" i="2"/>
  <c r="L190" i="2"/>
  <c r="L191" i="2"/>
  <c r="L196" i="2"/>
  <c r="L169" i="2"/>
  <c r="G196" i="2"/>
  <c r="J195" i="2" s="1"/>
  <c r="K195" i="2" s="1"/>
  <c r="L195" i="2" s="1"/>
  <c r="G189" i="2"/>
  <c r="J189" i="2" s="1"/>
  <c r="G195" i="2"/>
  <c r="Q195" i="2" s="1"/>
  <c r="G194" i="2"/>
  <c r="J194" i="2" s="1"/>
  <c r="G193" i="2"/>
  <c r="G192" i="2"/>
  <c r="J192" i="2" s="1"/>
  <c r="G191" i="2"/>
  <c r="G190" i="2"/>
  <c r="G180" i="2"/>
  <c r="P180" i="2" s="1"/>
  <c r="G181" i="2"/>
  <c r="G182" i="2"/>
  <c r="G183" i="2"/>
  <c r="G184" i="2"/>
  <c r="G185" i="2"/>
  <c r="J185" i="2" s="1"/>
  <c r="G186" i="2"/>
  <c r="Q186" i="2" s="1"/>
  <c r="Q197" i="2" s="1"/>
  <c r="G187" i="2"/>
  <c r="J186" i="2" s="1"/>
  <c r="K186" i="2" s="1"/>
  <c r="L186" i="2" s="1"/>
  <c r="G188" i="2"/>
  <c r="G179" i="2"/>
  <c r="J179" i="2" s="1"/>
  <c r="K179" i="2" l="1"/>
  <c r="L179" i="2" s="1"/>
  <c r="K185" i="2"/>
  <c r="L185" i="2" s="1"/>
  <c r="K192" i="2"/>
  <c r="L192" i="2" s="1"/>
  <c r="K189" i="2"/>
  <c r="L189" i="2" s="1"/>
  <c r="K194" i="2"/>
  <c r="L194" i="2" s="1"/>
  <c r="K218" i="2"/>
  <c r="M218" i="2"/>
  <c r="J184" i="2"/>
  <c r="J188" i="2"/>
  <c r="J193" i="2"/>
  <c r="G175" i="2"/>
  <c r="G173" i="2"/>
  <c r="J173" i="2" s="1"/>
  <c r="G174" i="2"/>
  <c r="P174" i="2" s="1"/>
  <c r="P197" i="2" s="1"/>
  <c r="G172" i="2"/>
  <c r="G171" i="2"/>
  <c r="J171" i="2" s="1"/>
  <c r="K171" i="2" s="1"/>
  <c r="L119" i="2"/>
  <c r="L125" i="2"/>
  <c r="L129" i="2"/>
  <c r="L130" i="2"/>
  <c r="L131" i="2"/>
  <c r="L132" i="2"/>
  <c r="L135" i="2"/>
  <c r="L136" i="2"/>
  <c r="L137" i="2"/>
  <c r="L140" i="2"/>
  <c r="L141" i="2"/>
  <c r="L142" i="2"/>
  <c r="L144" i="2"/>
  <c r="L147" i="2"/>
  <c r="L148" i="2"/>
  <c r="L151" i="2"/>
  <c r="L155" i="2"/>
  <c r="L157" i="2"/>
  <c r="L162" i="2"/>
  <c r="L163" i="2"/>
  <c r="L164" i="2"/>
  <c r="L118" i="2"/>
  <c r="G166" i="2"/>
  <c r="J166" i="2" s="1"/>
  <c r="G165" i="2"/>
  <c r="J165" i="2" s="1"/>
  <c r="G164" i="2"/>
  <c r="G163" i="2"/>
  <c r="G162" i="2"/>
  <c r="P162" i="2" s="1"/>
  <c r="G161" i="2"/>
  <c r="G160" i="2"/>
  <c r="J160" i="2" s="1"/>
  <c r="G159" i="2"/>
  <c r="G158" i="2"/>
  <c r="G157" i="2"/>
  <c r="G156" i="2"/>
  <c r="J156" i="2" s="1"/>
  <c r="G150" i="2"/>
  <c r="G155" i="2"/>
  <c r="J154" i="2" s="1"/>
  <c r="K154" i="2" s="1"/>
  <c r="L154" i="2" s="1"/>
  <c r="G154" i="2"/>
  <c r="Q154" i="2" s="1"/>
  <c r="G153" i="2"/>
  <c r="J152" i="2" s="1"/>
  <c r="G152" i="2"/>
  <c r="G151" i="2"/>
  <c r="G144" i="2"/>
  <c r="P144" i="2" s="1"/>
  <c r="G145" i="2"/>
  <c r="G146" i="2"/>
  <c r="J146" i="2" s="1"/>
  <c r="G147" i="2"/>
  <c r="G148" i="2"/>
  <c r="G149" i="2"/>
  <c r="Q149" i="2" s="1"/>
  <c r="G143" i="2"/>
  <c r="J143" i="2" s="1"/>
  <c r="K143" i="2" s="1"/>
  <c r="G134" i="2"/>
  <c r="J134" i="2" s="1"/>
  <c r="G135" i="2"/>
  <c r="G136" i="2"/>
  <c r="G137" i="2"/>
  <c r="G138" i="2"/>
  <c r="J138" i="2" s="1"/>
  <c r="G139" i="2"/>
  <c r="J139" i="2" s="1"/>
  <c r="G133" i="2"/>
  <c r="J133" i="2" s="1"/>
  <c r="G121" i="2"/>
  <c r="J121" i="2" s="1"/>
  <c r="G122" i="2"/>
  <c r="J122" i="2" s="1"/>
  <c r="G123" i="2"/>
  <c r="G124" i="2"/>
  <c r="J123" i="2" s="1"/>
  <c r="G125" i="2"/>
  <c r="J124" i="2" s="1"/>
  <c r="G126" i="2"/>
  <c r="G127" i="2"/>
  <c r="J127" i="2" s="1"/>
  <c r="G128" i="2"/>
  <c r="J128" i="2" s="1"/>
  <c r="G129" i="2"/>
  <c r="G130" i="2"/>
  <c r="G131" i="2"/>
  <c r="G132" i="2"/>
  <c r="G120" i="2"/>
  <c r="J120" i="2" s="1"/>
  <c r="Q116" i="2"/>
  <c r="L93" i="2"/>
  <c r="L94" i="2"/>
  <c r="L95" i="2"/>
  <c r="L96" i="2"/>
  <c r="L97" i="2"/>
  <c r="L99" i="2"/>
  <c r="L100" i="2"/>
  <c r="L102" i="2"/>
  <c r="L92" i="2"/>
  <c r="L101" i="2"/>
  <c r="P99" i="2"/>
  <c r="P100" i="2"/>
  <c r="G16" i="2"/>
  <c r="P16" i="2" s="1"/>
  <c r="J98" i="2"/>
  <c r="L50" i="2"/>
  <c r="L51" i="2"/>
  <c r="L52" i="2"/>
  <c r="L56" i="2"/>
  <c r="L57" i="2"/>
  <c r="L58" i="2"/>
  <c r="L61" i="2"/>
  <c r="L62" i="2"/>
  <c r="L63" i="2"/>
  <c r="L65" i="2"/>
  <c r="L66" i="2"/>
  <c r="L67" i="2"/>
  <c r="L71" i="2"/>
  <c r="L72" i="2"/>
  <c r="L77" i="2"/>
  <c r="L78" i="2"/>
  <c r="L80" i="2"/>
  <c r="L85" i="2"/>
  <c r="L86" i="2"/>
  <c r="L87" i="2"/>
  <c r="L46" i="2"/>
  <c r="G78" i="2"/>
  <c r="P78" i="2" s="1"/>
  <c r="G52" i="2"/>
  <c r="P52" i="2" s="1"/>
  <c r="G29" i="2"/>
  <c r="P29" i="2" s="1"/>
  <c r="G17" i="2"/>
  <c r="P17" i="2" s="1"/>
  <c r="K127" i="2" l="1"/>
  <c r="L127" i="2" s="1"/>
  <c r="K139" i="2"/>
  <c r="L139" i="2" s="1"/>
  <c r="K165" i="2"/>
  <c r="L165" i="2" s="1"/>
  <c r="K193" i="2"/>
  <c r="L193" i="2" s="1"/>
  <c r="K122" i="2"/>
  <c r="L122" i="2" s="1"/>
  <c r="K138" i="2"/>
  <c r="L138" i="2" s="1"/>
  <c r="K134" i="2"/>
  <c r="L134" i="2" s="1"/>
  <c r="K120" i="2"/>
  <c r="L120" i="2" s="1"/>
  <c r="K124" i="2"/>
  <c r="L124" i="2" s="1"/>
  <c r="K121" i="2"/>
  <c r="L121" i="2" s="1"/>
  <c r="K146" i="2"/>
  <c r="L146" i="2" s="1"/>
  <c r="J150" i="2"/>
  <c r="J149" i="2"/>
  <c r="K149" i="2" s="1"/>
  <c r="L149" i="2" s="1"/>
  <c r="K188" i="2"/>
  <c r="L188" i="2" s="1"/>
  <c r="K128" i="2"/>
  <c r="L128" i="2" s="1"/>
  <c r="K123" i="2"/>
  <c r="L123" i="2" s="1"/>
  <c r="K133" i="2"/>
  <c r="L133" i="2" s="1"/>
  <c r="K152" i="2"/>
  <c r="L152" i="2" s="1"/>
  <c r="K156" i="2"/>
  <c r="L156" i="2" s="1"/>
  <c r="K160" i="2"/>
  <c r="L160" i="2" s="1"/>
  <c r="K166" i="2"/>
  <c r="L166" i="2" s="1"/>
  <c r="K173" i="2"/>
  <c r="L173" i="2" s="1"/>
  <c r="K184" i="2"/>
  <c r="L184" i="2" s="1"/>
  <c r="J159" i="2"/>
  <c r="J161" i="2"/>
  <c r="K98" i="2"/>
  <c r="L98" i="2" s="1"/>
  <c r="M116" i="2" s="1"/>
  <c r="J153" i="2"/>
  <c r="P167" i="2"/>
  <c r="J172" i="2"/>
  <c r="J145" i="2"/>
  <c r="L143" i="2"/>
  <c r="Q167" i="2"/>
  <c r="J158" i="2"/>
  <c r="P116" i="2"/>
  <c r="J126" i="2"/>
  <c r="K145" i="2" l="1"/>
  <c r="L145" i="2" s="1"/>
  <c r="K150" i="2"/>
  <c r="L150" i="2" s="1"/>
  <c r="K158" i="2"/>
  <c r="L158" i="2" s="1"/>
  <c r="K172" i="2"/>
  <c r="L172" i="2" s="1"/>
  <c r="K161" i="2"/>
  <c r="L161" i="2" s="1"/>
  <c r="K159" i="2"/>
  <c r="L159" i="2" s="1"/>
  <c r="K126" i="2"/>
  <c r="L126" i="2" s="1"/>
  <c r="K153" i="2"/>
  <c r="L153" i="2" s="1"/>
  <c r="J167" i="2"/>
  <c r="L171" i="2"/>
  <c r="J197" i="2"/>
  <c r="J116" i="2"/>
  <c r="K116" i="2" s="1"/>
  <c r="M167" i="2" l="1"/>
  <c r="K197" i="2"/>
  <c r="K167" i="2"/>
  <c r="M197" i="2"/>
  <c r="G80" i="2"/>
  <c r="G81" i="2"/>
  <c r="G82" i="2"/>
  <c r="G83" i="2"/>
  <c r="J83" i="2" s="1"/>
  <c r="G84" i="2"/>
  <c r="J84" i="2" s="1"/>
  <c r="G85" i="2"/>
  <c r="P85" i="2" s="1"/>
  <c r="G86" i="2"/>
  <c r="G87" i="2"/>
  <c r="G88" i="2"/>
  <c r="J88" i="2" s="1"/>
  <c r="G89" i="2"/>
  <c r="J89" i="2" s="1"/>
  <c r="G79" i="2"/>
  <c r="G73" i="2"/>
  <c r="J73" i="2" s="1"/>
  <c r="G77" i="2"/>
  <c r="G76" i="2"/>
  <c r="G75" i="2"/>
  <c r="G74" i="2"/>
  <c r="G64" i="2"/>
  <c r="J64" i="2" s="1"/>
  <c r="G65" i="2"/>
  <c r="G66" i="2"/>
  <c r="P66" i="2" s="1"/>
  <c r="G67" i="2"/>
  <c r="G68" i="2"/>
  <c r="G69" i="2"/>
  <c r="G70" i="2"/>
  <c r="G71" i="2"/>
  <c r="G72" i="2"/>
  <c r="G63" i="2"/>
  <c r="Q63" i="2" s="1"/>
  <c r="G62" i="2"/>
  <c r="G61" i="2"/>
  <c r="G60" i="2"/>
  <c r="G59" i="2"/>
  <c r="G58" i="2"/>
  <c r="G57" i="2"/>
  <c r="G56" i="2"/>
  <c r="P56" i="2" s="1"/>
  <c r="G55" i="2"/>
  <c r="J55" i="2" s="1"/>
  <c r="G54" i="2"/>
  <c r="J54" i="2" s="1"/>
  <c r="G53" i="2"/>
  <c r="J53" i="2" s="1"/>
  <c r="G48" i="2"/>
  <c r="J48" i="2" s="1"/>
  <c r="G49" i="2"/>
  <c r="J49" i="2" s="1"/>
  <c r="G50" i="2"/>
  <c r="G51" i="2"/>
  <c r="G47" i="2"/>
  <c r="J47" i="2" s="1"/>
  <c r="K47" i="2" s="1"/>
  <c r="K48" i="2" l="1"/>
  <c r="L48" i="2" s="1"/>
  <c r="K64" i="2"/>
  <c r="L64" i="2" s="1"/>
  <c r="K88" i="2"/>
  <c r="L88" i="2" s="1"/>
  <c r="K84" i="2"/>
  <c r="L84" i="2" s="1"/>
  <c r="K53" i="2"/>
  <c r="L53" i="2" s="1"/>
  <c r="K73" i="2"/>
  <c r="L73" i="2" s="1"/>
  <c r="K83" i="2"/>
  <c r="L83" i="2" s="1"/>
  <c r="K54" i="2"/>
  <c r="L54" i="2" s="1"/>
  <c r="Q70" i="2"/>
  <c r="J70" i="2"/>
  <c r="K70" i="2" s="1"/>
  <c r="L70" i="2" s="1"/>
  <c r="J79" i="2"/>
  <c r="G90" i="2"/>
  <c r="K49" i="2"/>
  <c r="L49" i="2" s="1"/>
  <c r="K55" i="2"/>
  <c r="L55" i="2" s="1"/>
  <c r="Q76" i="2"/>
  <c r="J76" i="2"/>
  <c r="K76" i="2" s="1"/>
  <c r="L76" i="2" s="1"/>
  <c r="K89" i="2"/>
  <c r="L89" i="2" s="1"/>
  <c r="P90" i="2"/>
  <c r="J75" i="2"/>
  <c r="J74" i="2"/>
  <c r="J82" i="2"/>
  <c r="J81" i="2"/>
  <c r="J69" i="2"/>
  <c r="J68" i="2"/>
  <c r="J60" i="2"/>
  <c r="J59" i="2"/>
  <c r="J24" i="2"/>
  <c r="K24" i="2" s="1"/>
  <c r="L24" i="2" s="1"/>
  <c r="J20" i="2"/>
  <c r="K20" i="2" s="1"/>
  <c r="L20" i="2" s="1"/>
  <c r="J16" i="2"/>
  <c r="K16" i="2" s="1"/>
  <c r="L16" i="2" s="1"/>
  <c r="Q90" i="2" l="1"/>
  <c r="K59" i="2"/>
  <c r="L59" i="2" s="1"/>
  <c r="K81" i="2"/>
  <c r="L81" i="2" s="1"/>
  <c r="K60" i="2"/>
  <c r="L60" i="2" s="1"/>
  <c r="K82" i="2"/>
  <c r="L82" i="2" s="1"/>
  <c r="K68" i="2"/>
  <c r="L68" i="2" s="1"/>
  <c r="K74" i="2"/>
  <c r="L74" i="2" s="1"/>
  <c r="K69" i="2"/>
  <c r="L69" i="2" s="1"/>
  <c r="K75" i="2"/>
  <c r="L75" i="2" s="1"/>
  <c r="K79" i="2"/>
  <c r="L79" i="2" s="1"/>
  <c r="J90" i="2"/>
  <c r="L47" i="2"/>
  <c r="L5" i="2"/>
  <c r="G39" i="2"/>
  <c r="J39" i="2" s="1"/>
  <c r="K39" i="2" s="1"/>
  <c r="L39" i="2" s="1"/>
  <c r="G38" i="2"/>
  <c r="J38" i="2" s="1"/>
  <c r="K38" i="2" s="1"/>
  <c r="L38" i="2" s="1"/>
  <c r="G37" i="2"/>
  <c r="J37" i="2" s="1"/>
  <c r="K37" i="2" s="1"/>
  <c r="L37" i="2" s="1"/>
  <c r="G43" i="2"/>
  <c r="P43" i="2" s="1"/>
  <c r="G42" i="2"/>
  <c r="G40" i="2"/>
  <c r="G36" i="2"/>
  <c r="G35" i="2"/>
  <c r="J35" i="2" s="1"/>
  <c r="K35" i="2" s="1"/>
  <c r="L35" i="2" s="1"/>
  <c r="G34" i="2"/>
  <c r="J34" i="2" s="1"/>
  <c r="K34" i="2" s="1"/>
  <c r="L34" i="2" s="1"/>
  <c r="G33" i="2"/>
  <c r="J33" i="2" s="1"/>
  <c r="K33" i="2" s="1"/>
  <c r="L33" i="2" s="1"/>
  <c r="G32" i="2"/>
  <c r="J32" i="2" s="1"/>
  <c r="K32" i="2" s="1"/>
  <c r="L32" i="2" s="1"/>
  <c r="G31" i="2"/>
  <c r="J31" i="2" s="1"/>
  <c r="K31" i="2" s="1"/>
  <c r="L31" i="2" s="1"/>
  <c r="G26" i="2"/>
  <c r="G27" i="2"/>
  <c r="G30" i="2"/>
  <c r="G25" i="2"/>
  <c r="G11" i="2"/>
  <c r="J11" i="2" s="1"/>
  <c r="K11" i="2" s="1"/>
  <c r="L11" i="2" s="1"/>
  <c r="G12" i="2"/>
  <c r="J12" i="2" s="1"/>
  <c r="K12" i="2" s="1"/>
  <c r="L12" i="2" s="1"/>
  <c r="G13" i="2"/>
  <c r="J13" i="2" s="1"/>
  <c r="K13" i="2" s="1"/>
  <c r="L13" i="2" s="1"/>
  <c r="G14" i="2"/>
  <c r="J14" i="2" s="1"/>
  <c r="K14" i="2" s="1"/>
  <c r="L14" i="2" s="1"/>
  <c r="G15" i="2"/>
  <c r="J15" i="2" s="1"/>
  <c r="K15" i="2" s="1"/>
  <c r="L15" i="2" s="1"/>
  <c r="K90" i="2" l="1"/>
  <c r="M90" i="2"/>
  <c r="P42" i="2"/>
  <c r="P44" i="2" s="1"/>
  <c r="J27" i="2"/>
  <c r="K27" i="2" s="1"/>
  <c r="L27" i="2" s="1"/>
  <c r="Q27" i="2"/>
  <c r="Q44" i="2" s="1"/>
  <c r="J26" i="2"/>
  <c r="K26" i="2" s="1"/>
  <c r="L26" i="2" s="1"/>
  <c r="J25" i="2"/>
  <c r="K25" i="2" s="1"/>
  <c r="L25" i="2" s="1"/>
  <c r="G10" i="2" l="1"/>
  <c r="J10" i="2" s="1"/>
  <c r="K10" i="2" s="1"/>
  <c r="L10" i="2" s="1"/>
  <c r="G9" i="2"/>
  <c r="G8" i="2"/>
  <c r="G7" i="2"/>
  <c r="J7" i="2" s="1"/>
  <c r="K7" i="2" l="1"/>
  <c r="J8" i="2"/>
  <c r="K8" i="2" s="1"/>
  <c r="L8" i="2" s="1"/>
  <c r="J9" i="2"/>
  <c r="K9" i="2" s="1"/>
  <c r="L9" i="2" s="1"/>
  <c r="L7" i="2" l="1"/>
  <c r="K44" i="2"/>
  <c r="J44" i="2"/>
  <c r="M44" i="2"/>
</calcChain>
</file>

<file path=xl/sharedStrings.xml><?xml version="1.0" encoding="utf-8"?>
<sst xmlns="http://schemas.openxmlformats.org/spreadsheetml/2006/main" count="4240" uniqueCount="1484">
  <si>
    <t>No.</t>
    <phoneticPr fontId="2" type="noConversion"/>
  </si>
  <si>
    <t>ACFS code</t>
    <phoneticPr fontId="2" type="noConversion"/>
  </si>
  <si>
    <t>Meals</t>
    <phoneticPr fontId="2" type="noConversion"/>
  </si>
  <si>
    <t>Menu</t>
    <phoneticPr fontId="2" type="noConversion"/>
  </si>
  <si>
    <t>Components</t>
    <phoneticPr fontId="2" type="noConversion"/>
  </si>
  <si>
    <t>Weight(g)-4</t>
    <phoneticPr fontId="2" type="noConversion"/>
  </si>
  <si>
    <t>Weight(g)-1</t>
    <phoneticPr fontId="2" type="noConversion"/>
  </si>
  <si>
    <t>ACFS grade point</t>
    <phoneticPr fontId="2" type="noConversion"/>
  </si>
  <si>
    <t>FEU ratio</t>
    <phoneticPr fontId="2" type="noConversion"/>
  </si>
  <si>
    <t>FEU ratio X 
code grade point</t>
    <phoneticPr fontId="2" type="noConversion"/>
  </si>
  <si>
    <t>Ingredient 
score</t>
    <phoneticPr fontId="2" type="noConversion"/>
  </si>
  <si>
    <t>Cooking
modification</t>
    <phoneticPr fontId="2" type="noConversion"/>
  </si>
  <si>
    <t>ACFS grade</t>
    <phoneticPr fontId="2" type="noConversion"/>
  </si>
  <si>
    <t>B</t>
    <phoneticPr fontId="2" type="noConversion"/>
  </si>
  <si>
    <t>AV</t>
    <phoneticPr fontId="2" type="noConversion"/>
  </si>
  <si>
    <t>RG</t>
    <phoneticPr fontId="2" type="noConversion"/>
  </si>
  <si>
    <t>Ga</t>
    <phoneticPr fontId="2" type="noConversion"/>
  </si>
  <si>
    <t>RM</t>
    <phoneticPr fontId="2" type="noConversion"/>
  </si>
  <si>
    <t>Fr</t>
    <phoneticPr fontId="2" type="noConversion"/>
  </si>
  <si>
    <t>Ga</t>
    <phoneticPr fontId="2" type="noConversion"/>
  </si>
  <si>
    <t>SF</t>
    <phoneticPr fontId="2" type="noConversion"/>
  </si>
  <si>
    <t>FISH</t>
    <phoneticPr fontId="2" type="noConversion"/>
  </si>
  <si>
    <t>CV</t>
    <phoneticPr fontId="2" type="noConversion"/>
  </si>
  <si>
    <t>NSV</t>
    <phoneticPr fontId="2" type="noConversion"/>
  </si>
  <si>
    <t>RG</t>
    <phoneticPr fontId="2" type="noConversion"/>
  </si>
  <si>
    <t>WG</t>
    <phoneticPr fontId="2" type="noConversion"/>
  </si>
  <si>
    <t>CRV</t>
    <phoneticPr fontId="2" type="noConversion"/>
  </si>
  <si>
    <t>WM</t>
    <phoneticPr fontId="2" type="noConversion"/>
  </si>
  <si>
    <t>Mi</t>
    <phoneticPr fontId="2" type="noConversion"/>
  </si>
  <si>
    <t>SW</t>
    <phoneticPr fontId="2" type="noConversion"/>
  </si>
  <si>
    <t>Egg</t>
    <phoneticPr fontId="2" type="noConversion"/>
  </si>
  <si>
    <t>Egg</t>
    <phoneticPr fontId="2" type="noConversion"/>
  </si>
  <si>
    <t>Potato</t>
    <phoneticPr fontId="2" type="noConversion"/>
  </si>
  <si>
    <t>FEU</t>
    <phoneticPr fontId="2" type="noConversion"/>
  </si>
  <si>
    <t>Oil</t>
    <phoneticPr fontId="2" type="noConversion"/>
  </si>
  <si>
    <t>Salt(Nacl)</t>
    <phoneticPr fontId="2" type="noConversion"/>
  </si>
  <si>
    <t>HS</t>
    <phoneticPr fontId="2" type="noConversion"/>
  </si>
  <si>
    <t>Recipe-ref</t>
    <phoneticPr fontId="2" type="noConversion"/>
  </si>
  <si>
    <t>.</t>
    <phoneticPr fontId="2" type="noConversion"/>
  </si>
  <si>
    <t xml:space="preserve">* 미국 : NHANES(National Health and Nutrition Examination Survey)-WWEIA(What We Eat In America), USDA(United States Department of Agriculture),  Department of Health and Human Services (DHHS). </t>
    <phoneticPr fontId="2" type="noConversion"/>
  </si>
  <si>
    <t>Home4</t>
    <phoneticPr fontId="2" type="noConversion"/>
  </si>
  <si>
    <t>Home3</t>
    <phoneticPr fontId="2" type="noConversion"/>
  </si>
  <si>
    <t>Home2</t>
    <phoneticPr fontId="2" type="noConversion"/>
  </si>
  <si>
    <t>Home5</t>
    <phoneticPr fontId="2" type="noConversion"/>
  </si>
  <si>
    <t>Home6</t>
    <phoneticPr fontId="2" type="noConversion"/>
  </si>
  <si>
    <t>1단위</t>
    <phoneticPr fontId="2" type="noConversion"/>
  </si>
  <si>
    <t>B</t>
    <phoneticPr fontId="2" type="noConversion"/>
  </si>
  <si>
    <t>E</t>
    <phoneticPr fontId="2" type="noConversion"/>
  </si>
  <si>
    <t>NSV</t>
    <phoneticPr fontId="2" type="noConversion"/>
  </si>
  <si>
    <t>C</t>
    <phoneticPr fontId="2" type="noConversion"/>
  </si>
  <si>
    <t>C</t>
  </si>
  <si>
    <t>E</t>
  </si>
  <si>
    <t>HS</t>
  </si>
  <si>
    <t>B</t>
  </si>
  <si>
    <t>Home7</t>
    <phoneticPr fontId="2" type="noConversion"/>
  </si>
  <si>
    <t>Egg</t>
    <phoneticPr fontId="2" type="noConversion"/>
  </si>
  <si>
    <t>GLS</t>
    <phoneticPr fontId="2" type="noConversion"/>
  </si>
  <si>
    <t>Home8</t>
    <phoneticPr fontId="2" type="noConversion"/>
  </si>
  <si>
    <t>SF</t>
    <phoneticPr fontId="2" type="noConversion"/>
  </si>
  <si>
    <t>A</t>
    <phoneticPr fontId="2" type="noConversion"/>
  </si>
  <si>
    <t>Home9</t>
    <phoneticPr fontId="2" type="noConversion"/>
  </si>
  <si>
    <t>Home10</t>
    <phoneticPr fontId="2" type="noConversion"/>
  </si>
  <si>
    <t>Eatingout1</t>
    <phoneticPr fontId="2" type="noConversion"/>
  </si>
  <si>
    <t>NSV</t>
    <phoneticPr fontId="2" type="noConversion"/>
  </si>
  <si>
    <t>HS,HF</t>
    <phoneticPr fontId="2" type="noConversion"/>
  </si>
  <si>
    <t>Home11</t>
    <phoneticPr fontId="2" type="noConversion"/>
  </si>
  <si>
    <t>C</t>
    <phoneticPr fontId="2" type="noConversion"/>
  </si>
  <si>
    <t>Home12</t>
    <phoneticPr fontId="2" type="noConversion"/>
  </si>
  <si>
    <t>RM</t>
    <phoneticPr fontId="2" type="noConversion"/>
  </si>
  <si>
    <t>NSV</t>
    <phoneticPr fontId="2" type="noConversion"/>
  </si>
  <si>
    <t>Ga</t>
    <phoneticPr fontId="2" type="noConversion"/>
  </si>
  <si>
    <t>CRV</t>
    <phoneticPr fontId="2" type="noConversion"/>
  </si>
  <si>
    <t>Nut</t>
    <phoneticPr fontId="2" type="noConversion"/>
  </si>
  <si>
    <t>Nut</t>
    <phoneticPr fontId="2" type="noConversion"/>
  </si>
  <si>
    <t>Fr</t>
    <phoneticPr fontId="2" type="noConversion"/>
  </si>
  <si>
    <t>Nut</t>
    <phoneticPr fontId="2" type="noConversion"/>
  </si>
  <si>
    <t>.</t>
    <phoneticPr fontId="2" type="noConversion"/>
  </si>
  <si>
    <t>D</t>
    <phoneticPr fontId="2" type="noConversion"/>
  </si>
  <si>
    <t>Home13</t>
    <phoneticPr fontId="2" type="noConversion"/>
  </si>
  <si>
    <t>Eatingout2</t>
    <phoneticPr fontId="2" type="noConversion"/>
  </si>
  <si>
    <t>RG</t>
    <phoneticPr fontId="2" type="noConversion"/>
  </si>
  <si>
    <t>GLS</t>
    <phoneticPr fontId="2" type="noConversion"/>
  </si>
  <si>
    <t>CV</t>
    <phoneticPr fontId="2" type="noConversion"/>
  </si>
  <si>
    <t>Potato</t>
    <phoneticPr fontId="2" type="noConversion"/>
  </si>
  <si>
    <t>RM</t>
    <phoneticPr fontId="2" type="noConversion"/>
  </si>
  <si>
    <t>AV</t>
    <phoneticPr fontId="2" type="noConversion"/>
  </si>
  <si>
    <t>HS</t>
    <phoneticPr fontId="2" type="noConversion"/>
  </si>
  <si>
    <t>B</t>
    <phoneticPr fontId="2" type="noConversion"/>
  </si>
  <si>
    <t>Eatingout3</t>
    <phoneticPr fontId="2" type="noConversion"/>
  </si>
  <si>
    <t>Egg</t>
    <phoneticPr fontId="2" type="noConversion"/>
  </si>
  <si>
    <t>CV</t>
    <phoneticPr fontId="2" type="noConversion"/>
  </si>
  <si>
    <t>CV</t>
    <phoneticPr fontId="2" type="noConversion"/>
  </si>
  <si>
    <t>CRV</t>
    <phoneticPr fontId="2" type="noConversion"/>
  </si>
  <si>
    <t>NSV</t>
    <phoneticPr fontId="2" type="noConversion"/>
  </si>
  <si>
    <t>HS,HF</t>
    <phoneticPr fontId="2" type="noConversion"/>
  </si>
  <si>
    <t>Eatingout4</t>
    <phoneticPr fontId="2" type="noConversion"/>
  </si>
  <si>
    <t>.</t>
    <phoneticPr fontId="2" type="noConversion"/>
  </si>
  <si>
    <t>Eatingout5</t>
    <phoneticPr fontId="2" type="noConversion"/>
  </si>
  <si>
    <t>A</t>
  </si>
  <si>
    <t>A</t>
    <phoneticPr fontId="2" type="noConversion"/>
  </si>
  <si>
    <t>Eatingout6</t>
    <phoneticPr fontId="2" type="noConversion"/>
  </si>
  <si>
    <t>캔프로</t>
    <phoneticPr fontId="2" type="noConversion"/>
  </si>
  <si>
    <t>HS</t>
    <phoneticPr fontId="2" type="noConversion"/>
  </si>
  <si>
    <t>C</t>
    <phoneticPr fontId="2" type="noConversion"/>
  </si>
  <si>
    <t>Eatingout7</t>
    <phoneticPr fontId="2" type="noConversion"/>
  </si>
  <si>
    <t>E</t>
    <phoneticPr fontId="2" type="noConversion"/>
  </si>
  <si>
    <t>Eatingout8</t>
    <phoneticPr fontId="2" type="noConversion"/>
  </si>
  <si>
    <t>HS,HF</t>
  </si>
  <si>
    <t>D</t>
  </si>
  <si>
    <t>Eatingout9</t>
    <phoneticPr fontId="2" type="noConversion"/>
  </si>
  <si>
    <t>B</t>
    <phoneticPr fontId="2" type="noConversion"/>
  </si>
  <si>
    <t>HS</t>
    <phoneticPr fontId="2" type="noConversion"/>
  </si>
  <si>
    <t>Eatingout10</t>
    <phoneticPr fontId="2" type="noConversion"/>
  </si>
  <si>
    <t>RG</t>
    <phoneticPr fontId="2" type="noConversion"/>
  </si>
  <si>
    <t>PM</t>
    <phoneticPr fontId="2" type="noConversion"/>
  </si>
  <si>
    <t>Fr</t>
    <phoneticPr fontId="2" type="noConversion"/>
  </si>
  <si>
    <t>C</t>
    <phoneticPr fontId="2" type="noConversion"/>
  </si>
  <si>
    <t>Eatingout11</t>
    <phoneticPr fontId="2" type="noConversion"/>
  </si>
  <si>
    <t>D</t>
    <phoneticPr fontId="2" type="noConversion"/>
  </si>
  <si>
    <t>Eatingout12</t>
    <phoneticPr fontId="2" type="noConversion"/>
  </si>
  <si>
    <t>RM</t>
    <phoneticPr fontId="2" type="noConversion"/>
  </si>
  <si>
    <t>CV</t>
    <phoneticPr fontId="2" type="noConversion"/>
  </si>
  <si>
    <t>CRV</t>
    <phoneticPr fontId="2" type="noConversion"/>
  </si>
  <si>
    <t>AV</t>
    <phoneticPr fontId="2" type="noConversion"/>
  </si>
  <si>
    <t>Ga</t>
    <phoneticPr fontId="2" type="noConversion"/>
  </si>
  <si>
    <t>Eatingout13</t>
    <phoneticPr fontId="2" type="noConversion"/>
  </si>
  <si>
    <t>SW</t>
    <phoneticPr fontId="2" type="noConversion"/>
  </si>
  <si>
    <t>C</t>
    <phoneticPr fontId="2" type="noConversion"/>
  </si>
  <si>
    <t>Eatingout14</t>
    <phoneticPr fontId="2" type="noConversion"/>
  </si>
  <si>
    <t>WM</t>
    <phoneticPr fontId="2" type="noConversion"/>
  </si>
  <si>
    <t>RM</t>
    <phoneticPr fontId="2" type="noConversion"/>
  </si>
  <si>
    <t>NSV</t>
    <phoneticPr fontId="2" type="noConversion"/>
  </si>
  <si>
    <t>B</t>
    <phoneticPr fontId="2" type="noConversion"/>
  </si>
  <si>
    <t>Home14</t>
    <phoneticPr fontId="2" type="noConversion"/>
  </si>
  <si>
    <t>Home15</t>
    <phoneticPr fontId="2" type="noConversion"/>
  </si>
  <si>
    <t>Le</t>
    <phoneticPr fontId="2" type="noConversion"/>
  </si>
  <si>
    <t>CV</t>
    <phoneticPr fontId="2" type="noConversion"/>
  </si>
  <si>
    <t>Eatingout15</t>
    <phoneticPr fontId="2" type="noConversion"/>
  </si>
  <si>
    <t>CV</t>
    <phoneticPr fontId="2" type="noConversion"/>
  </si>
  <si>
    <t>GLS</t>
    <phoneticPr fontId="2" type="noConversion"/>
  </si>
  <si>
    <t>Le</t>
    <phoneticPr fontId="2" type="noConversion"/>
  </si>
  <si>
    <t>Le</t>
    <phoneticPr fontId="2" type="noConversion"/>
  </si>
  <si>
    <t>HF</t>
    <phoneticPr fontId="2" type="noConversion"/>
  </si>
  <si>
    <t>HF,HS</t>
    <phoneticPr fontId="2" type="noConversion"/>
  </si>
  <si>
    <t>oats</t>
  </si>
  <si>
    <t>Greek yogurt</t>
    <phoneticPr fontId="2" type="noConversion"/>
  </si>
  <si>
    <t>strawberries</t>
    <phoneticPr fontId="2" type="noConversion"/>
  </si>
  <si>
    <t>large plum (Roma) tomatoes</t>
  </si>
  <si>
    <t>extra-virgin olive oil</t>
  </si>
  <si>
    <t>salt</t>
    <phoneticPr fontId="2" type="noConversion"/>
  </si>
  <si>
    <t>mayo</t>
    <phoneticPr fontId="2" type="noConversion"/>
  </si>
  <si>
    <t>dry white wine</t>
    <phoneticPr fontId="2" type="noConversion"/>
  </si>
  <si>
    <t>pearl barley</t>
    <phoneticPr fontId="2" type="noConversion"/>
  </si>
  <si>
    <t>basil, plus whole leaves for garnish</t>
    <phoneticPr fontId="2" type="noConversion"/>
  </si>
  <si>
    <t>fresh flat-leaf (Italian) parsley</t>
    <phoneticPr fontId="2" type="noConversion"/>
  </si>
  <si>
    <t>fresh thyme</t>
    <phoneticPr fontId="2" type="noConversion"/>
  </si>
  <si>
    <t>shallot</t>
    <phoneticPr fontId="2" type="noConversion"/>
  </si>
  <si>
    <t>vegetable stock</t>
    <phoneticPr fontId="2" type="noConversion"/>
  </si>
  <si>
    <t>unit</t>
    <phoneticPr fontId="2" type="noConversion"/>
  </si>
  <si>
    <t>lb</t>
    <phoneticPr fontId="2" type="noConversion"/>
  </si>
  <si>
    <t>Ts</t>
    <phoneticPr fontId="2" type="noConversion"/>
  </si>
  <si>
    <t>ts</t>
    <phoneticPr fontId="2" type="noConversion"/>
  </si>
  <si>
    <t>C</t>
    <phoneticPr fontId="2" type="noConversion"/>
  </si>
  <si>
    <t>ea</t>
    <phoneticPr fontId="2" type="noConversion"/>
  </si>
  <si>
    <t>grated Parmesan cheese, plus extra ungrated Parmesan for making curls</t>
    <phoneticPr fontId="2" type="noConversion"/>
  </si>
  <si>
    <t>Fr</t>
    <phoneticPr fontId="2" type="noConversion"/>
  </si>
  <si>
    <t>NSV</t>
    <phoneticPr fontId="2" type="noConversion"/>
  </si>
  <si>
    <t>Mi</t>
    <phoneticPr fontId="2" type="noConversion"/>
  </si>
  <si>
    <t>fresh breadcrumbs, preferably whole-wheat</t>
    <phoneticPr fontId="2" type="noConversion"/>
  </si>
  <si>
    <t>olive oil</t>
    <phoneticPr fontId="2" type="noConversion"/>
  </si>
  <si>
    <t>globe artichokes</t>
    <phoneticPr fontId="2" type="noConversion"/>
  </si>
  <si>
    <t>lemon</t>
    <phoneticPr fontId="2" type="noConversion"/>
  </si>
  <si>
    <t>grated Parmesan cheese</t>
    <phoneticPr fontId="2" type="noConversion"/>
  </si>
  <si>
    <t>Weight-all</t>
    <phoneticPr fontId="2" type="noConversion"/>
  </si>
  <si>
    <t>Weight-1serving</t>
    <phoneticPr fontId="2" type="noConversion"/>
  </si>
  <si>
    <t>garlic clove</t>
    <phoneticPr fontId="2" type="noConversion"/>
  </si>
  <si>
    <t>grated lemon zest</t>
    <phoneticPr fontId="2" type="noConversion"/>
  </si>
  <si>
    <t>chicken stock</t>
    <phoneticPr fontId="2" type="noConversion"/>
  </si>
  <si>
    <t>fresh oregano</t>
    <phoneticPr fontId="2" type="noConversion"/>
  </si>
  <si>
    <t>whole-wheat (whole-meal) flour</t>
    <phoneticPr fontId="2" type="noConversion"/>
  </si>
  <si>
    <t>all-purpose (plain) flour</t>
    <phoneticPr fontId="2" type="noConversion"/>
  </si>
  <si>
    <t>brown sugar</t>
    <phoneticPr fontId="2" type="noConversion"/>
  </si>
  <si>
    <t>baking powder</t>
    <phoneticPr fontId="2" type="noConversion"/>
  </si>
  <si>
    <t>eggs</t>
    <phoneticPr fontId="2" type="noConversion"/>
  </si>
  <si>
    <t>1 percent low-fat milk</t>
    <phoneticPr fontId="2" type="noConversion"/>
  </si>
  <si>
    <t>canola oil</t>
    <phoneticPr fontId="2" type="noConversion"/>
  </si>
  <si>
    <t>dark honey</t>
    <phoneticPr fontId="2" type="noConversion"/>
  </si>
  <si>
    <t>almond extract</t>
    <phoneticPr fontId="2" type="noConversion"/>
  </si>
  <si>
    <t>dried apricots</t>
    <phoneticPr fontId="2" type="noConversion"/>
  </si>
  <si>
    <t>almonds</t>
    <phoneticPr fontId="2" type="noConversion"/>
  </si>
  <si>
    <t>RG</t>
    <phoneticPr fontId="2" type="noConversion"/>
  </si>
  <si>
    <t>Le</t>
    <phoneticPr fontId="2" type="noConversion"/>
  </si>
  <si>
    <t>S</t>
    <phoneticPr fontId="2" type="noConversion"/>
  </si>
  <si>
    <t>steaks</t>
    <phoneticPr fontId="2" type="noConversion"/>
  </si>
  <si>
    <t>oz</t>
    <phoneticPr fontId="2" type="noConversion"/>
  </si>
  <si>
    <t>salt</t>
    <phoneticPr fontId="2" type="noConversion"/>
  </si>
  <si>
    <t>yellow onion</t>
    <phoneticPr fontId="2" type="noConversion"/>
  </si>
  <si>
    <t>cloves garlic</t>
    <phoneticPr fontId="2" type="noConversion"/>
  </si>
  <si>
    <t>tomatoes</t>
    <phoneticPr fontId="2" type="noConversion"/>
  </si>
  <si>
    <t>green olives</t>
    <phoneticPr fontId="2" type="noConversion"/>
  </si>
  <si>
    <t>capers, rinsed</t>
    <phoneticPr fontId="2" type="noConversion"/>
  </si>
  <si>
    <t xml:space="preserve"> jalapeno chili, seeded </t>
    <phoneticPr fontId="2" type="noConversion"/>
  </si>
  <si>
    <t xml:space="preserve">fresh lime juice </t>
    <phoneticPr fontId="2" type="noConversion"/>
  </si>
  <si>
    <t>RM</t>
    <phoneticPr fontId="2" type="noConversion"/>
  </si>
  <si>
    <t>CRV</t>
    <phoneticPr fontId="2" type="noConversion"/>
  </si>
  <si>
    <t>balsamic vinegar</t>
    <phoneticPr fontId="2" type="noConversion"/>
  </si>
  <si>
    <t>fresh parsley</t>
    <phoneticPr fontId="2" type="noConversion"/>
  </si>
  <si>
    <t>garlic cloves</t>
    <phoneticPr fontId="2" type="noConversion"/>
  </si>
  <si>
    <t>garbanzos, rinsed and drained</t>
    <phoneticPr fontId="2" type="noConversion"/>
  </si>
  <si>
    <t>black beans, rinsed and drained</t>
    <phoneticPr fontId="2" type="noConversion"/>
  </si>
  <si>
    <t>medium red onion</t>
    <phoneticPr fontId="2" type="noConversion"/>
  </si>
  <si>
    <t>lettuce leaves</t>
    <phoneticPr fontId="2" type="noConversion"/>
  </si>
  <si>
    <t>celery</t>
    <phoneticPr fontId="2" type="noConversion"/>
  </si>
  <si>
    <t>dried cherries</t>
    <phoneticPr fontId="2" type="noConversion"/>
  </si>
  <si>
    <t>ground cinnamon</t>
    <phoneticPr fontId="2" type="noConversion"/>
  </si>
  <si>
    <t>nutmeg</t>
    <phoneticPr fontId="2" type="noConversion"/>
  </si>
  <si>
    <t>Golden Delicious apples</t>
    <phoneticPr fontId="2" type="noConversion"/>
  </si>
  <si>
    <t>파운드</t>
    <phoneticPr fontId="2" type="noConversion"/>
  </si>
  <si>
    <t>apple juice</t>
    <phoneticPr fontId="2" type="noConversion"/>
  </si>
  <si>
    <t xml:space="preserve">walnut oil </t>
    <phoneticPr fontId="2" type="noConversion"/>
  </si>
  <si>
    <t>FEU
ADA+KOR</t>
    <phoneticPr fontId="2" type="noConversion"/>
  </si>
  <si>
    <t>HF</t>
    <phoneticPr fontId="2" type="noConversion"/>
  </si>
  <si>
    <t>fresh basil</t>
    <phoneticPr fontId="2" type="noConversion"/>
  </si>
  <si>
    <t xml:space="preserve"> fresh parsley</t>
    <phoneticPr fontId="2" type="noConversion"/>
  </si>
  <si>
    <t>garlic</t>
    <phoneticPr fontId="2" type="noConversion"/>
  </si>
  <si>
    <t>lemon juice</t>
    <phoneticPr fontId="2" type="noConversion"/>
  </si>
  <si>
    <t>salmon fillets</t>
    <phoneticPr fontId="2" type="noConversion"/>
  </si>
  <si>
    <t>thin slices lemon</t>
    <phoneticPr fontId="2" type="noConversion"/>
  </si>
  <si>
    <t>FISH</t>
    <phoneticPr fontId="2" type="noConversion"/>
  </si>
  <si>
    <t xml:space="preserve">beets </t>
    <phoneticPr fontId="2" type="noConversion"/>
  </si>
  <si>
    <t>red wine vinegar</t>
    <phoneticPr fontId="2" type="noConversion"/>
  </si>
  <si>
    <t>fresh salad greens</t>
    <phoneticPr fontId="2" type="noConversion"/>
  </si>
  <si>
    <t>apple</t>
    <phoneticPr fontId="2" type="noConversion"/>
  </si>
  <si>
    <t>walnuts</t>
    <phoneticPr fontId="2" type="noConversion"/>
  </si>
  <si>
    <t>gorgonzola cheese</t>
    <phoneticPr fontId="2" type="noConversion"/>
  </si>
  <si>
    <t>vanilla extract</t>
    <phoneticPr fontId="2" type="noConversion"/>
  </si>
  <si>
    <t>strawberries</t>
    <phoneticPr fontId="2" type="noConversion"/>
  </si>
  <si>
    <t>blueberries</t>
    <phoneticPr fontId="2" type="noConversion"/>
  </si>
  <si>
    <t>shortbread biscuits</t>
    <phoneticPr fontId="2" type="noConversion"/>
  </si>
  <si>
    <t>raspberries</t>
    <phoneticPr fontId="2" type="noConversion"/>
  </si>
  <si>
    <t>A</t>
    <phoneticPr fontId="2" type="noConversion"/>
  </si>
  <si>
    <t>dry bow tie pasta</t>
    <phoneticPr fontId="2" type="noConversion"/>
  </si>
  <si>
    <t>can of garbanzos, rinsed and drained</t>
    <phoneticPr fontId="2" type="noConversion"/>
  </si>
  <si>
    <t>unsalted chicken broth</t>
    <phoneticPr fontId="2" type="noConversion"/>
  </si>
  <si>
    <t>fresh spinach</t>
    <phoneticPr fontId="2" type="noConversion"/>
  </si>
  <si>
    <t>kale, tough stems removed and leaves coarsely chopped</t>
    <phoneticPr fontId="2" type="noConversion"/>
  </si>
  <si>
    <t>low-sodium vegetable stock or broth</t>
    <phoneticPr fontId="2" type="noConversion"/>
  </si>
  <si>
    <t>cherry tomatoes</t>
    <phoneticPr fontId="2" type="noConversion"/>
  </si>
  <si>
    <t>orange juice</t>
    <phoneticPr fontId="2" type="noConversion"/>
  </si>
  <si>
    <t>ground nutmeg</t>
    <phoneticPr fontId="2" type="noConversion"/>
  </si>
  <si>
    <t>whole pears</t>
    <phoneticPr fontId="2" type="noConversion"/>
  </si>
  <si>
    <t>fresh raspberries</t>
    <phoneticPr fontId="2" type="noConversion"/>
  </si>
  <si>
    <t>orange zest</t>
    <phoneticPr fontId="2" type="noConversion"/>
  </si>
  <si>
    <t>whole-grain bread</t>
    <phoneticPr fontId="2" type="noConversion"/>
  </si>
  <si>
    <t>dried cannellini or other white beans</t>
    <phoneticPr fontId="2" type="noConversion"/>
  </si>
  <si>
    <t>bay leaf</t>
    <phoneticPr fontId="2" type="noConversion"/>
  </si>
  <si>
    <t>carrot</t>
    <phoneticPr fontId="2" type="noConversion"/>
  </si>
  <si>
    <t>fresh rosemary</t>
    <phoneticPr fontId="2" type="noConversion"/>
  </si>
  <si>
    <t>plum tomatoes</t>
    <phoneticPr fontId="2" type="noConversion"/>
  </si>
  <si>
    <t>clove garlic</t>
    <phoneticPr fontId="2" type="noConversion"/>
  </si>
  <si>
    <t>crusty Italian peasant bread</t>
    <phoneticPr fontId="2" type="noConversion"/>
  </si>
  <si>
    <t>asparagus stalks</t>
    <phoneticPr fontId="2" type="noConversion"/>
  </si>
  <si>
    <t>spinach</t>
    <phoneticPr fontId="2" type="noConversion"/>
  </si>
  <si>
    <t>broccoli</t>
    <phoneticPr fontId="2" type="noConversion"/>
  </si>
  <si>
    <t>mushrooms</t>
    <phoneticPr fontId="2" type="noConversion"/>
  </si>
  <si>
    <t>frozen whole-wheat bread dough loaf, thawed</t>
    <phoneticPr fontId="2" type="noConversion"/>
  </si>
  <si>
    <t>tomato</t>
    <phoneticPr fontId="2" type="noConversion"/>
  </si>
  <si>
    <t>shredded part-skim mozzarella</t>
    <phoneticPr fontId="2" type="noConversion"/>
  </si>
  <si>
    <t>pizza sauce</t>
    <phoneticPr fontId="2" type="noConversion"/>
  </si>
  <si>
    <t>CV</t>
    <phoneticPr fontId="2" type="noConversion"/>
  </si>
  <si>
    <t>Ch</t>
    <phoneticPr fontId="2" type="noConversion"/>
  </si>
  <si>
    <t>Ch</t>
    <phoneticPr fontId="2" type="noConversion"/>
  </si>
  <si>
    <t>Ch</t>
    <phoneticPr fontId="2" type="noConversion"/>
  </si>
  <si>
    <t>Ch</t>
    <phoneticPr fontId="2" type="noConversion"/>
  </si>
  <si>
    <t>fat-free feta cheese</t>
    <phoneticPr fontId="2" type="noConversion"/>
  </si>
  <si>
    <t>fat-free blue cheese dressing</t>
    <phoneticPr fontId="2" type="noConversion"/>
  </si>
  <si>
    <t>whole roasted red peppers</t>
    <phoneticPr fontId="2" type="noConversion"/>
  </si>
  <si>
    <t>small leaves basil for garnish</t>
    <phoneticPr fontId="2" type="noConversion"/>
  </si>
  <si>
    <t>Egg</t>
    <phoneticPr fontId="2" type="noConversion"/>
  </si>
  <si>
    <t>B</t>
    <phoneticPr fontId="2" type="noConversion"/>
  </si>
  <si>
    <t>mixed greens</t>
    <phoneticPr fontId="2" type="noConversion"/>
  </si>
  <si>
    <t>cucumber slices</t>
    <phoneticPr fontId="2" type="noConversion"/>
  </si>
  <si>
    <t>feta cheese</t>
    <phoneticPr fontId="2" type="noConversion"/>
  </si>
  <si>
    <t>Spiced Chickpea "Nuts"</t>
    <phoneticPr fontId="2" type="noConversion"/>
  </si>
  <si>
    <t>ser</t>
    <phoneticPr fontId="2" type="noConversion"/>
  </si>
  <si>
    <t xml:space="preserve">olive oil </t>
    <phoneticPr fontId="2" type="noConversion"/>
  </si>
  <si>
    <t>Ch</t>
    <phoneticPr fontId="2" type="noConversion"/>
  </si>
  <si>
    <t>olives</t>
    <phoneticPr fontId="2" type="noConversion"/>
  </si>
  <si>
    <t>Le</t>
    <phoneticPr fontId="2" type="noConversion"/>
  </si>
  <si>
    <t>Le</t>
    <phoneticPr fontId="2" type="noConversion"/>
  </si>
  <si>
    <t>walnut</t>
    <phoneticPr fontId="2" type="noConversion"/>
  </si>
  <si>
    <t>Fr</t>
    <phoneticPr fontId="2" type="noConversion"/>
  </si>
  <si>
    <t>Mediterranean01</t>
    <phoneticPr fontId="2" type="noConversion"/>
  </si>
  <si>
    <t>Mediterranean02</t>
    <phoneticPr fontId="2" type="noConversion"/>
  </si>
  <si>
    <t>Mediterranean03</t>
    <phoneticPr fontId="2" type="noConversion"/>
  </si>
  <si>
    <t>Mediterranean04</t>
    <phoneticPr fontId="2" type="noConversion"/>
  </si>
  <si>
    <t>Mediterranean05</t>
    <phoneticPr fontId="2" type="noConversion"/>
  </si>
  <si>
    <t>Mediterranean06</t>
    <phoneticPr fontId="2" type="noConversion"/>
  </si>
  <si>
    <t>Mediterranean07</t>
    <phoneticPr fontId="2" type="noConversion"/>
  </si>
  <si>
    <t>Mediterranean08</t>
    <phoneticPr fontId="2" type="noConversion"/>
  </si>
  <si>
    <t>Mediterranean09</t>
    <phoneticPr fontId="2" type="noConversion"/>
  </si>
  <si>
    <t xml:space="preserve">balsamic vinegar </t>
    <phoneticPr fontId="2" type="noConversion"/>
  </si>
  <si>
    <t>shelf-stable gnocchi</t>
    <phoneticPr fontId="2" type="noConversion"/>
  </si>
  <si>
    <t>small onion</t>
    <phoneticPr fontId="2" type="noConversion"/>
  </si>
  <si>
    <t>small red bell pepper</t>
    <phoneticPr fontId="2" type="noConversion"/>
  </si>
  <si>
    <t>fresh oregano, plus more for garnish</t>
    <phoneticPr fontId="2" type="noConversion"/>
  </si>
  <si>
    <t>chickpeas, rinsed</t>
    <phoneticPr fontId="2" type="noConversion"/>
  </si>
  <si>
    <t>no-salt-added diced tomatoes</t>
    <phoneticPr fontId="2" type="noConversion"/>
  </si>
  <si>
    <t>frozen artichoke hearts</t>
    <phoneticPr fontId="2" type="noConversion"/>
  </si>
  <si>
    <t>pitted Kalamata olives, sliced</t>
    <phoneticPr fontId="2" type="noConversion"/>
  </si>
  <si>
    <t>red-wine vinegar</t>
    <phoneticPr fontId="2" type="noConversion"/>
  </si>
  <si>
    <t>Ga</t>
    <phoneticPr fontId="2" type="noConversion"/>
  </si>
  <si>
    <t>Egg &amp; Toast Breakfast</t>
    <phoneticPr fontId="2" type="noConversion"/>
  </si>
  <si>
    <t>Mediterranean10</t>
    <phoneticPr fontId="2" type="noConversion"/>
  </si>
  <si>
    <t>medium avocado</t>
    <phoneticPr fontId="2" type="noConversion"/>
  </si>
  <si>
    <t>large egg</t>
    <phoneticPr fontId="2" type="noConversion"/>
  </si>
  <si>
    <t>clementine</t>
    <phoneticPr fontId="2" type="noConversion"/>
  </si>
  <si>
    <t>whole-wheat bread, toasted</t>
    <phoneticPr fontId="2" type="noConversion"/>
  </si>
  <si>
    <t>Egg</t>
    <phoneticPr fontId="2" type="noConversion"/>
  </si>
  <si>
    <t>Chickpea</t>
    <phoneticPr fontId="2" type="noConversion"/>
  </si>
  <si>
    <t>Mediterranean11</t>
    <phoneticPr fontId="2" type="noConversion"/>
  </si>
  <si>
    <t>cod</t>
    <phoneticPr fontId="2" type="noConversion"/>
  </si>
  <si>
    <t xml:space="preserve">zucchini sautéed </t>
    <phoneticPr fontId="2" type="noConversion"/>
  </si>
  <si>
    <t>cooked whole-wheat couscous</t>
    <phoneticPr fontId="2" type="noConversion"/>
  </si>
  <si>
    <t>whole-wheat pita round (6-1/2-inch), toasted</t>
    <phoneticPr fontId="2" type="noConversion"/>
  </si>
  <si>
    <t>medium apple</t>
    <phoneticPr fontId="2" type="noConversion"/>
  </si>
  <si>
    <t>FISH</t>
    <phoneticPr fontId="2" type="noConversion"/>
  </si>
  <si>
    <t>WG</t>
    <phoneticPr fontId="2" type="noConversion"/>
  </si>
  <si>
    <t>Mediterranean12</t>
    <phoneticPr fontId="2" type="noConversion"/>
  </si>
  <si>
    <t>Green Salad with Pita Bread &amp; Hummus</t>
    <phoneticPr fontId="2" type="noConversion"/>
  </si>
  <si>
    <t>nonfat plain Greek yogurt topped with strawberries</t>
    <phoneticPr fontId="2" type="noConversion"/>
  </si>
  <si>
    <t>cucumber</t>
    <phoneticPr fontId="2" type="noConversion"/>
  </si>
  <si>
    <t xml:space="preserve">6-1/2-inch whole-wheat pita </t>
    <phoneticPr fontId="2" type="noConversion"/>
  </si>
  <si>
    <t xml:space="preserve">nonfat plain Greek yogurt </t>
    <phoneticPr fontId="2" type="noConversion"/>
  </si>
  <si>
    <t>Italian Egg Drop Soup</t>
    <phoneticPr fontId="2" type="noConversion"/>
  </si>
  <si>
    <t>Mediterranean13</t>
    <phoneticPr fontId="2" type="noConversion"/>
  </si>
  <si>
    <t>reduced-sodium chicken broth</t>
    <phoneticPr fontId="2" type="noConversion"/>
  </si>
  <si>
    <t xml:space="preserve">whole-wheat medium pasta shells </t>
    <phoneticPr fontId="2" type="noConversion"/>
  </si>
  <si>
    <t>chickpeas, rinsed</t>
    <phoneticPr fontId="2" type="noConversion"/>
  </si>
  <si>
    <t>scallions, sliced, whites and greens divided</t>
    <phoneticPr fontId="2" type="noConversion"/>
  </si>
  <si>
    <t>bunch</t>
    <phoneticPr fontId="2" type="noConversion"/>
  </si>
  <si>
    <t>freshly grated nutmeg</t>
    <phoneticPr fontId="2" type="noConversion"/>
  </si>
  <si>
    <t>large eggs, lightly beaten</t>
    <phoneticPr fontId="2" type="noConversion"/>
  </si>
  <si>
    <t>lemon juice</t>
    <phoneticPr fontId="2" type="noConversion"/>
  </si>
  <si>
    <t>balsamic vinegar</t>
    <phoneticPr fontId="2" type="noConversion"/>
  </si>
  <si>
    <t>olive oil</t>
    <phoneticPr fontId="2" type="noConversion"/>
  </si>
  <si>
    <t>whole-wheat bread, toasted and drizzled</t>
    <phoneticPr fontId="2" type="noConversion"/>
  </si>
  <si>
    <t>AV</t>
    <phoneticPr fontId="2" type="noConversion"/>
  </si>
  <si>
    <t>Egg</t>
    <phoneticPr fontId="2" type="noConversion"/>
  </si>
  <si>
    <t>arugula</t>
    <phoneticPr fontId="2" type="noConversion"/>
  </si>
  <si>
    <t>A</t>
    <phoneticPr fontId="2" type="noConversion"/>
  </si>
  <si>
    <t>Roast Pork, Asparagus &amp; Cherry Tomato Bowl</t>
    <phoneticPr fontId="2" type="noConversion"/>
  </si>
  <si>
    <t>sliced strawberries</t>
    <phoneticPr fontId="2" type="noConversion"/>
  </si>
  <si>
    <t>Mediterranean14</t>
    <phoneticPr fontId="2" type="noConversion"/>
  </si>
  <si>
    <t>salt</t>
    <phoneticPr fontId="2" type="noConversion"/>
  </si>
  <si>
    <t>lb</t>
    <phoneticPr fontId="2" type="noConversion"/>
  </si>
  <si>
    <t>dried marjoram</t>
    <phoneticPr fontId="2" type="noConversion"/>
  </si>
  <si>
    <t>canola oil</t>
    <phoneticPr fontId="2" type="noConversion"/>
  </si>
  <si>
    <t xml:space="preserve">asparagus, trimmed </t>
    <phoneticPr fontId="2" type="noConversion"/>
  </si>
  <si>
    <t>large red onion</t>
    <phoneticPr fontId="2" type="noConversion"/>
  </si>
  <si>
    <t>cherry tomatoes</t>
    <phoneticPr fontId="2" type="noConversion"/>
  </si>
  <si>
    <t>finely chopped fresh parsley</t>
    <phoneticPr fontId="2" type="noConversion"/>
  </si>
  <si>
    <t>lemon zest</t>
    <phoneticPr fontId="2" type="noConversion"/>
  </si>
  <si>
    <t>plain hummus</t>
    <phoneticPr fontId="2" type="noConversion"/>
  </si>
  <si>
    <t>RM</t>
    <phoneticPr fontId="2" type="noConversion"/>
  </si>
  <si>
    <t>Fr</t>
    <phoneticPr fontId="2" type="noConversion"/>
  </si>
  <si>
    <t>C</t>
    <phoneticPr fontId="2" type="noConversion"/>
  </si>
  <si>
    <t>Mediterranean15</t>
    <phoneticPr fontId="2" type="noConversion"/>
  </si>
  <si>
    <t>Mediterranean Tuna Spinach Salad</t>
    <phoneticPr fontId="2" type="noConversion"/>
  </si>
  <si>
    <t>whole-wheat bread, toasted and drizzled with olive oil</t>
    <phoneticPr fontId="2" type="noConversion"/>
  </si>
  <si>
    <t xml:space="preserve">can chunk light tuna </t>
    <phoneticPr fontId="2" type="noConversion"/>
  </si>
  <si>
    <t>Kalamata olives</t>
    <phoneticPr fontId="2" type="noConversion"/>
  </si>
  <si>
    <t>feta cheese</t>
    <phoneticPr fontId="2" type="noConversion"/>
  </si>
  <si>
    <t>parsley</t>
    <phoneticPr fontId="2" type="noConversion"/>
  </si>
  <si>
    <t>baby spinach</t>
    <phoneticPr fontId="2" type="noConversion"/>
  </si>
  <si>
    <t>medium orange, peeled or sliced</t>
    <phoneticPr fontId="2" type="noConversion"/>
  </si>
  <si>
    <t>Le</t>
    <phoneticPr fontId="2" type="noConversion"/>
  </si>
  <si>
    <t>Ch</t>
    <phoneticPr fontId="2" type="noConversion"/>
  </si>
  <si>
    <t>whole-wheat bread, toasted and drizz</t>
    <phoneticPr fontId="2" type="noConversion"/>
  </si>
  <si>
    <t>steamed broccoli florets</t>
    <phoneticPr fontId="2" type="noConversion"/>
  </si>
  <si>
    <t>Mediterranean16</t>
    <phoneticPr fontId="2" type="noConversion"/>
  </si>
  <si>
    <t xml:space="preserve">small boneless, skinless chicken breasts </t>
    <phoneticPr fontId="2" type="noConversion"/>
  </si>
  <si>
    <t>fresh sage leaves</t>
    <phoneticPr fontId="2" type="noConversion"/>
  </si>
  <si>
    <t>all-purpose flour</t>
    <phoneticPr fontId="2" type="noConversion"/>
  </si>
  <si>
    <t>butter</t>
    <phoneticPr fontId="2" type="noConversion"/>
  </si>
  <si>
    <t>WM</t>
    <phoneticPr fontId="2" type="noConversion"/>
  </si>
  <si>
    <t>WG</t>
    <phoneticPr fontId="2" type="noConversion"/>
  </si>
  <si>
    <t>Mediterranean17</t>
    <phoneticPr fontId="2" type="noConversion"/>
  </si>
  <si>
    <t>chopped fresh dill, plus more for garnish</t>
    <phoneticPr fontId="2" type="noConversion"/>
  </si>
  <si>
    <t>minced shallot</t>
    <phoneticPr fontId="2" type="noConversion"/>
  </si>
  <si>
    <t>capers, rinsed and chopped</t>
    <phoneticPr fontId="2" type="noConversion"/>
  </si>
  <si>
    <t>clove garlic</t>
    <phoneticPr fontId="2" type="noConversion"/>
  </si>
  <si>
    <t>kosher salt,</t>
    <phoneticPr fontId="2" type="noConversion"/>
  </si>
  <si>
    <t>plum tomatoes</t>
    <phoneticPr fontId="2" type="noConversion"/>
  </si>
  <si>
    <t xml:space="preserve">medium zucchini </t>
    <phoneticPr fontId="2" type="noConversion"/>
  </si>
  <si>
    <t>small eggplant</t>
    <phoneticPr fontId="2" type="noConversion"/>
  </si>
  <si>
    <t xml:space="preserve">tube prepared polenta </t>
    <phoneticPr fontId="2" type="noConversion"/>
  </si>
  <si>
    <t>can no-salt-added white beans</t>
    <phoneticPr fontId="2" type="noConversion"/>
  </si>
  <si>
    <t>NSV</t>
    <phoneticPr fontId="2" type="noConversion"/>
  </si>
  <si>
    <t>Ga</t>
    <phoneticPr fontId="2" type="noConversion"/>
  </si>
  <si>
    <t>medium plum</t>
    <phoneticPr fontId="2" type="noConversion"/>
  </si>
  <si>
    <t>plum</t>
  </si>
  <si>
    <t>HF</t>
    <phoneticPr fontId="2" type="noConversion"/>
  </si>
  <si>
    <t>B</t>
    <phoneticPr fontId="2" type="noConversion"/>
  </si>
  <si>
    <t>Cauliflower, Pancetta &amp; Olive Spaghetti</t>
    <phoneticPr fontId="2" type="noConversion"/>
  </si>
  <si>
    <t>Garlic, Sausage &amp; Kale Naan Pizzas</t>
    <phoneticPr fontId="2" type="noConversion"/>
  </si>
  <si>
    <t>Sugar Snap Pea Salad</t>
    <phoneticPr fontId="2" type="noConversion"/>
  </si>
  <si>
    <t>2 medium carrots</t>
    <phoneticPr fontId="2" type="noConversion"/>
  </si>
  <si>
    <t>1 hard-bolied egg seasoned with a pinch each of salt and pepper</t>
    <phoneticPr fontId="2" type="noConversion"/>
  </si>
  <si>
    <t>Oatmeal with Fruit &amp; Nuts</t>
    <phoneticPr fontId="2" type="noConversion"/>
  </si>
  <si>
    <t>Mediterranean18</t>
    <phoneticPr fontId="2" type="noConversion"/>
  </si>
  <si>
    <t>whole-wheat spaghetti</t>
    <phoneticPr fontId="2" type="noConversion"/>
  </si>
  <si>
    <t>finely chopped cauliflower</t>
    <phoneticPr fontId="2" type="noConversion"/>
  </si>
  <si>
    <t>cloves garlic</t>
    <phoneticPr fontId="2" type="noConversion"/>
  </si>
  <si>
    <t>dry white wine</t>
    <phoneticPr fontId="2" type="noConversion"/>
  </si>
  <si>
    <t>pitted Kalamata olives</t>
    <phoneticPr fontId="2" type="noConversion"/>
  </si>
  <si>
    <t>butte</t>
    <phoneticPr fontId="2" type="noConversion"/>
  </si>
  <si>
    <t>chopped flat-leaf parsley</t>
    <phoneticPr fontId="2" type="noConversion"/>
  </si>
  <si>
    <t>egg</t>
  </si>
  <si>
    <t>Mediterranean19</t>
    <phoneticPr fontId="2" type="noConversion"/>
  </si>
  <si>
    <t>93%-lean ground turkey</t>
    <phoneticPr fontId="2" type="noConversion"/>
  </si>
  <si>
    <t>fennel seeds</t>
    <phoneticPr fontId="2" type="noConversion"/>
  </si>
  <si>
    <t>paprika</t>
    <phoneticPr fontId="2" type="noConversion"/>
  </si>
  <si>
    <t>kosher salt</t>
    <phoneticPr fontId="2" type="noConversion"/>
  </si>
  <si>
    <t xml:space="preserve">lightly packed prechopped kale </t>
    <phoneticPr fontId="2" type="noConversion"/>
  </si>
  <si>
    <t>red-wine vinegar</t>
    <phoneticPr fontId="2" type="noConversion"/>
  </si>
  <si>
    <t xml:space="preserve">8-inch whole-grain naan breads </t>
    <phoneticPr fontId="2" type="noConversion"/>
  </si>
  <si>
    <t>carrots</t>
    <phoneticPr fontId="2" type="noConversion"/>
  </si>
  <si>
    <t>Mediterranean20</t>
    <phoneticPr fontId="2" type="noConversion"/>
  </si>
  <si>
    <t xml:space="preserve">sugar snap peas </t>
    <phoneticPr fontId="2" type="noConversion"/>
  </si>
  <si>
    <t>torn fresh mint</t>
    <phoneticPr fontId="2" type="noConversion"/>
  </si>
  <si>
    <t>soft sheep’s-milk cheese, such as MitiCrema, or soft goat cheese</t>
    <phoneticPr fontId="2" type="noConversion"/>
  </si>
  <si>
    <t xml:space="preserve">oatmeal cooked </t>
    <phoneticPr fontId="2" type="noConversion"/>
  </si>
  <si>
    <t>chopped walnuts</t>
    <phoneticPr fontId="2" type="noConversion"/>
  </si>
  <si>
    <t>honey</t>
    <phoneticPr fontId="2" type="noConversion"/>
  </si>
  <si>
    <t>skim milk</t>
    <phoneticPr fontId="2" type="noConversion"/>
  </si>
  <si>
    <t>Mi</t>
    <phoneticPr fontId="2" type="noConversion"/>
  </si>
  <si>
    <t>western01</t>
    <phoneticPr fontId="2" type="noConversion"/>
  </si>
  <si>
    <t>Amish-Style French Toast</t>
    <phoneticPr fontId="2" type="noConversion"/>
  </si>
  <si>
    <t>Mr.breakfast.com</t>
    <phoneticPr fontId="2" type="noConversion"/>
  </si>
  <si>
    <t>coffe</t>
  </si>
  <si>
    <t>milk</t>
    <phoneticPr fontId="2" type="noConversion"/>
  </si>
  <si>
    <t>large eggs</t>
    <phoneticPr fontId="2" type="noConversion"/>
  </si>
  <si>
    <t>cinnamon</t>
    <phoneticPr fontId="2" type="noConversion"/>
  </si>
  <si>
    <t>vanilla</t>
    <phoneticPr fontId="2" type="noConversion"/>
  </si>
  <si>
    <t>bread(thick-sliced)</t>
    <phoneticPr fontId="2" type="noConversion"/>
  </si>
  <si>
    <t>Simple Bacon Omelet</t>
    <phoneticPr fontId="2" type="noConversion"/>
  </si>
  <si>
    <t>orange juce</t>
    <phoneticPr fontId="2" type="noConversion"/>
  </si>
  <si>
    <t>toast</t>
    <phoneticPr fontId="2" type="noConversion"/>
  </si>
  <si>
    <t>western02</t>
    <phoneticPr fontId="2" type="noConversion"/>
  </si>
  <si>
    <t xml:space="preserve">bacon strips </t>
    <phoneticPr fontId="2" type="noConversion"/>
  </si>
  <si>
    <t>orange juce</t>
    <phoneticPr fontId="2" type="noConversion"/>
  </si>
  <si>
    <t>GLS</t>
    <phoneticPr fontId="2" type="noConversion"/>
  </si>
  <si>
    <t>Fr</t>
    <phoneticPr fontId="2" type="noConversion"/>
  </si>
  <si>
    <t>stick butter</t>
    <phoneticPr fontId="2" type="noConversion"/>
  </si>
  <si>
    <t>oil</t>
    <phoneticPr fontId="2" type="noConversion"/>
  </si>
  <si>
    <t>sugar</t>
    <phoneticPr fontId="2" type="noConversion"/>
  </si>
  <si>
    <t>baking soda</t>
    <phoneticPr fontId="2" type="noConversion"/>
  </si>
  <si>
    <t>beaten egg</t>
    <phoneticPr fontId="2" type="noConversion"/>
  </si>
  <si>
    <t>buttermilk</t>
    <phoneticPr fontId="2" type="noConversion"/>
  </si>
  <si>
    <t xml:space="preserve">canola oil </t>
    <phoneticPr fontId="2" type="noConversion"/>
  </si>
  <si>
    <t>coffee</t>
    <phoneticPr fontId="2" type="noConversion"/>
  </si>
  <si>
    <t>western03</t>
    <phoneticPr fontId="2" type="noConversion"/>
  </si>
  <si>
    <t>western04</t>
    <phoneticPr fontId="2" type="noConversion"/>
  </si>
  <si>
    <t>toast - white or wheat</t>
    <phoneticPr fontId="2" type="noConversion"/>
  </si>
  <si>
    <t>cream cheese</t>
    <phoneticPr fontId="2" type="noConversion"/>
  </si>
  <si>
    <t>strawberry (or other red) jam</t>
    <phoneticPr fontId="2" type="noConversion"/>
  </si>
  <si>
    <t>banana sliced</t>
    <phoneticPr fontId="2" type="noConversion"/>
  </si>
  <si>
    <t>western05</t>
    <phoneticPr fontId="2" type="noConversion"/>
  </si>
  <si>
    <t xml:space="preserve">round slices Louis Rich Turkey Ham </t>
    <phoneticPr fontId="2" type="noConversion"/>
  </si>
  <si>
    <t xml:space="preserve">large eggs </t>
    <phoneticPr fontId="2" type="noConversion"/>
  </si>
  <si>
    <t xml:space="preserve">English muffins </t>
    <phoneticPr fontId="2" type="noConversion"/>
  </si>
  <si>
    <t>plain low-fat yogurt</t>
    <phoneticPr fontId="2" type="noConversion"/>
  </si>
  <si>
    <t>light mayonnaise</t>
    <phoneticPr fontId="2" type="noConversion"/>
  </si>
  <si>
    <t>Mustard</t>
    <phoneticPr fontId="2" type="noConversion"/>
  </si>
  <si>
    <t>western06</t>
    <phoneticPr fontId="2" type="noConversion"/>
  </si>
  <si>
    <t>serious eats</t>
    <phoneticPr fontId="2" type="noConversion"/>
  </si>
  <si>
    <t xml:space="preserve">freshly ground beef </t>
    <phoneticPr fontId="2" type="noConversion"/>
  </si>
  <si>
    <t xml:space="preserve">Kosher salt </t>
    <phoneticPr fontId="2" type="noConversion"/>
  </si>
  <si>
    <t>soft hamburger buns</t>
    <phoneticPr fontId="2" type="noConversion"/>
  </si>
  <si>
    <t>russet potatoe</t>
    <phoneticPr fontId="2" type="noConversion"/>
  </si>
  <si>
    <t>distilled white vinegar</t>
    <phoneticPr fontId="2" type="noConversion"/>
  </si>
  <si>
    <t>Kosher salt</t>
    <phoneticPr fontId="2" type="noConversion"/>
  </si>
  <si>
    <t>peanut oil</t>
    <phoneticPr fontId="2" type="noConversion"/>
  </si>
  <si>
    <t>RM</t>
    <phoneticPr fontId="2" type="noConversion"/>
  </si>
  <si>
    <t xml:space="preserve">slices cheddar cheese </t>
    <phoneticPr fontId="2" type="noConversion"/>
  </si>
  <si>
    <t>Ch</t>
    <phoneticPr fontId="2" type="noConversion"/>
  </si>
  <si>
    <t xml:space="preserve">Grilled Hot Dogs With Sauerkraut </t>
    <phoneticPr fontId="2" type="noConversion"/>
  </si>
  <si>
    <t>western07</t>
    <phoneticPr fontId="2" type="noConversion"/>
  </si>
  <si>
    <t>natural-casing all-beef hot dogs</t>
    <phoneticPr fontId="2" type="noConversion"/>
  </si>
  <si>
    <t>Buns and brown mustard</t>
    <phoneticPr fontId="2" type="noConversion"/>
  </si>
  <si>
    <t>CV</t>
    <phoneticPr fontId="2" type="noConversion"/>
  </si>
  <si>
    <t>PM</t>
    <phoneticPr fontId="2" type="noConversion"/>
  </si>
  <si>
    <t>Fried Chicken</t>
    <phoneticPr fontId="2" type="noConversion"/>
  </si>
  <si>
    <t>Honey Butter and Assembly</t>
    <phoneticPr fontId="2" type="noConversion"/>
  </si>
  <si>
    <t>western08</t>
    <phoneticPr fontId="2" type="noConversion"/>
  </si>
  <si>
    <t>granulated sugar</t>
    <phoneticPr fontId="2" type="noConversion"/>
  </si>
  <si>
    <t xml:space="preserve"> salt</t>
    <phoneticPr fontId="2" type="noConversion"/>
  </si>
  <si>
    <t>unsalted butter, chilled and cut crosswise into thin slices</t>
    <phoneticPr fontId="2" type="noConversion"/>
  </si>
  <si>
    <t xml:space="preserve">bone in, skin on chicken thighs </t>
    <phoneticPr fontId="2" type="noConversion"/>
  </si>
  <si>
    <t xml:space="preserve">finely grated zest </t>
    <phoneticPr fontId="2" type="noConversion"/>
  </si>
  <si>
    <t xml:space="preserve"> juice from 1 lemon</t>
    <phoneticPr fontId="2" type="noConversion"/>
  </si>
  <si>
    <t>garlic powder</t>
    <phoneticPr fontId="2" type="noConversion"/>
  </si>
  <si>
    <t>onion powder</t>
    <phoneticPr fontId="2" type="noConversion"/>
  </si>
  <si>
    <t>dried thyme</t>
    <phoneticPr fontId="2" type="noConversion"/>
  </si>
  <si>
    <t>unsalted butter, softened</t>
    <phoneticPr fontId="2" type="noConversion"/>
  </si>
  <si>
    <t xml:space="preserve"> honey</t>
    <phoneticPr fontId="2" type="noConversion"/>
  </si>
  <si>
    <t>dill or bread-and-butter pickle chips</t>
    <phoneticPr fontId="2" type="noConversion"/>
  </si>
  <si>
    <t>WM</t>
    <phoneticPr fontId="2" type="noConversion"/>
  </si>
  <si>
    <t>NSV</t>
    <phoneticPr fontId="2" type="noConversion"/>
  </si>
  <si>
    <t>western09</t>
    <phoneticPr fontId="2" type="noConversion"/>
  </si>
  <si>
    <t>Chicago-style pizza</t>
    <phoneticPr fontId="2" type="noConversion"/>
  </si>
  <si>
    <t>cornmeal</t>
    <phoneticPr fontId="2" type="noConversion"/>
  </si>
  <si>
    <t>quick-rise yeast</t>
    <phoneticPr fontId="2" type="noConversion"/>
  </si>
  <si>
    <t xml:space="preserve"> sugar</t>
    <phoneticPr fontId="2" type="noConversion"/>
  </si>
  <si>
    <t>diced tomatoes</t>
    <phoneticPr fontId="2" type="noConversion"/>
  </si>
  <si>
    <t>tomato sauce</t>
    <phoneticPr fontId="2" type="noConversion"/>
  </si>
  <si>
    <t>tomato paste</t>
    <phoneticPr fontId="2" type="noConversion"/>
  </si>
  <si>
    <t>dried basi</t>
    <phoneticPr fontId="2" type="noConversion"/>
  </si>
  <si>
    <t>dried oregano</t>
    <phoneticPr fontId="2" type="noConversion"/>
  </si>
  <si>
    <t>Johnsonville® Ground Mild Italian sausage</t>
    <phoneticPr fontId="2" type="noConversion"/>
  </si>
  <si>
    <t>slices pepperoni</t>
    <phoneticPr fontId="2" type="noConversion"/>
  </si>
  <si>
    <t>sliced fresh mushrooms</t>
    <phoneticPr fontId="2" type="noConversion"/>
  </si>
  <si>
    <t>RG</t>
    <phoneticPr fontId="2" type="noConversion"/>
  </si>
  <si>
    <t>CRV</t>
    <phoneticPr fontId="2" type="noConversion"/>
  </si>
  <si>
    <t>Ch</t>
    <phoneticPr fontId="2" type="noConversion"/>
  </si>
  <si>
    <t>Nachos</t>
    <phoneticPr fontId="2" type="noConversion"/>
  </si>
  <si>
    <t>allrecipes</t>
    <phoneticPr fontId="2" type="noConversion"/>
  </si>
  <si>
    <t>western10</t>
    <phoneticPr fontId="2" type="noConversion"/>
  </si>
  <si>
    <t xml:space="preserve">cloves garlic, crushed </t>
    <phoneticPr fontId="2" type="noConversion"/>
  </si>
  <si>
    <t>reen onion</t>
    <phoneticPr fontId="2" type="noConversion"/>
  </si>
  <si>
    <t>whole chicken breast</t>
    <phoneticPr fontId="2" type="noConversion"/>
  </si>
  <si>
    <t xml:space="preserve">salsa </t>
    <phoneticPr fontId="2" type="noConversion"/>
  </si>
  <si>
    <t xml:space="preserve">package tortilla chips </t>
    <phoneticPr fontId="2" type="noConversion"/>
  </si>
  <si>
    <t xml:space="preserve">package shredded Cheddar/Monterey Jack cheese blend </t>
    <phoneticPr fontId="2" type="noConversion"/>
  </si>
  <si>
    <t xml:space="preserve">large tomato, diced </t>
    <phoneticPr fontId="2" type="noConversion"/>
  </si>
  <si>
    <t>Ga</t>
    <phoneticPr fontId="2" type="noConversion"/>
  </si>
  <si>
    <t>AV</t>
    <phoneticPr fontId="2" type="noConversion"/>
  </si>
  <si>
    <t>RG</t>
    <phoneticPr fontId="2" type="noConversion"/>
  </si>
  <si>
    <t>Apple Pie</t>
    <phoneticPr fontId="2" type="noConversion"/>
  </si>
  <si>
    <t>taste of home</t>
    <phoneticPr fontId="2" type="noConversion"/>
  </si>
  <si>
    <t>western11</t>
    <phoneticPr fontId="2" type="noConversion"/>
  </si>
  <si>
    <t>sugar</t>
    <phoneticPr fontId="2" type="noConversion"/>
  </si>
  <si>
    <t>packed brown sugar</t>
    <phoneticPr fontId="2" type="noConversion"/>
  </si>
  <si>
    <t>all-purpose flour</t>
    <phoneticPr fontId="2" type="noConversion"/>
  </si>
  <si>
    <t>ground cinnamon</t>
    <phoneticPr fontId="2" type="noConversion"/>
  </si>
  <si>
    <t>ground ginger</t>
    <phoneticPr fontId="2" type="noConversion"/>
  </si>
  <si>
    <t>ground nutmeg</t>
    <phoneticPr fontId="2" type="noConversion"/>
  </si>
  <si>
    <t>thinly sliced peeled tart apples</t>
    <phoneticPr fontId="2" type="noConversion"/>
  </si>
  <si>
    <t>lemon juice</t>
    <phoneticPr fontId="2" type="noConversion"/>
  </si>
  <si>
    <t>Pastry for double-crust pie (9 inches)</t>
    <phoneticPr fontId="2" type="noConversion"/>
  </si>
  <si>
    <t>butter</t>
    <phoneticPr fontId="2" type="noConversion"/>
  </si>
  <si>
    <t>large egg white</t>
    <phoneticPr fontId="2" type="noConversion"/>
  </si>
  <si>
    <t>Fr</t>
    <phoneticPr fontId="2" type="noConversion"/>
  </si>
  <si>
    <t>A</t>
    <phoneticPr fontId="2" type="noConversion"/>
  </si>
  <si>
    <t>Chocolate Chip Muffins</t>
    <phoneticPr fontId="2" type="noConversion"/>
  </si>
  <si>
    <t>western12</t>
    <phoneticPr fontId="2" type="noConversion"/>
  </si>
  <si>
    <t>baking powder</t>
    <phoneticPr fontId="2" type="noConversion"/>
  </si>
  <si>
    <t>salt</t>
    <phoneticPr fontId="2" type="noConversion"/>
  </si>
  <si>
    <t>milk</t>
    <phoneticPr fontId="2" type="noConversion"/>
  </si>
  <si>
    <t>butter - melted and cooled</t>
    <phoneticPr fontId="2" type="noConversion"/>
  </si>
  <si>
    <t>eggs - beaten</t>
    <phoneticPr fontId="2" type="noConversion"/>
  </si>
  <si>
    <t>vanilla</t>
    <phoneticPr fontId="2" type="noConversion"/>
  </si>
  <si>
    <t>package (12 oz) chocolate chips</t>
    <phoneticPr fontId="2" type="noConversion"/>
  </si>
  <si>
    <t>oz</t>
    <phoneticPr fontId="2" type="noConversion"/>
  </si>
  <si>
    <t xml:space="preserve">walnuts or pecans </t>
    <phoneticPr fontId="2" type="noConversion"/>
  </si>
  <si>
    <t>Mi</t>
    <phoneticPr fontId="2" type="noConversion"/>
  </si>
  <si>
    <t>Le</t>
    <phoneticPr fontId="2" type="noConversion"/>
  </si>
  <si>
    <t>light-brown sugar</t>
    <phoneticPr fontId="2" type="noConversion"/>
  </si>
  <si>
    <t>C</t>
    <phoneticPr fontId="2" type="noConversion"/>
  </si>
  <si>
    <t>Chicken Cordon Bleu Skillet</t>
    <phoneticPr fontId="2" type="noConversion"/>
  </si>
  <si>
    <t>western13</t>
    <phoneticPr fontId="2" type="noConversion"/>
  </si>
  <si>
    <t>uncooked medium egg noodles (about 5 cups)</t>
    <phoneticPr fontId="2" type="noConversion"/>
  </si>
  <si>
    <t>boneless skinless chicken breasts</t>
    <phoneticPr fontId="2" type="noConversion"/>
  </si>
  <si>
    <t>lb</t>
    <phoneticPr fontId="2" type="noConversion"/>
  </si>
  <si>
    <t>shredded Swiss cheese</t>
    <phoneticPr fontId="2" type="noConversion"/>
  </si>
  <si>
    <t>cubed fully cooked ham</t>
    <phoneticPr fontId="2" type="noConversion"/>
  </si>
  <si>
    <t>Ch</t>
    <phoneticPr fontId="2" type="noConversion"/>
  </si>
  <si>
    <t>PM</t>
    <phoneticPr fontId="2" type="noConversion"/>
  </si>
  <si>
    <t>D</t>
    <phoneticPr fontId="2" type="noConversion"/>
  </si>
  <si>
    <t>HS</t>
    <phoneticPr fontId="2" type="noConversion"/>
  </si>
  <si>
    <t>g</t>
    <phoneticPr fontId="2" type="noConversion"/>
  </si>
  <si>
    <t>Meat Loaf &amp; Mashed Red Potatoes</t>
    <phoneticPr fontId="2" type="noConversion"/>
  </si>
  <si>
    <t>western14</t>
    <phoneticPr fontId="2" type="noConversion"/>
  </si>
  <si>
    <t>small red potatoes</t>
    <phoneticPr fontId="2" type="noConversion"/>
  </si>
  <si>
    <t>beef stock</t>
    <phoneticPr fontId="2" type="noConversion"/>
  </si>
  <si>
    <t>white bread</t>
    <phoneticPr fontId="2" type="noConversion"/>
  </si>
  <si>
    <t xml:space="preserve">large portobello mushrooms </t>
    <phoneticPr fontId="2" type="noConversion"/>
  </si>
  <si>
    <t>medium onion</t>
    <phoneticPr fontId="2" type="noConversion"/>
  </si>
  <si>
    <t>medium carrot</t>
    <phoneticPr fontId="2" type="noConversion"/>
  </si>
  <si>
    <t>celery rib</t>
    <phoneticPr fontId="2" type="noConversion"/>
  </si>
  <si>
    <t>garlic cloves</t>
    <phoneticPr fontId="2" type="noConversion"/>
  </si>
  <si>
    <t>large eggs,</t>
    <phoneticPr fontId="2" type="noConversion"/>
  </si>
  <si>
    <t>ground beef</t>
    <phoneticPr fontId="2" type="noConversion"/>
  </si>
  <si>
    <t>ground pork</t>
    <phoneticPr fontId="2" type="noConversion"/>
  </si>
  <si>
    <t>Worcestershire sauce</t>
    <phoneticPr fontId="2" type="noConversion"/>
  </si>
  <si>
    <t>ketchup</t>
    <phoneticPr fontId="2" type="noConversion"/>
  </si>
  <si>
    <t>tomato paste</t>
    <phoneticPr fontId="2" type="noConversion"/>
  </si>
  <si>
    <t>brown sugar</t>
    <phoneticPr fontId="2" type="noConversion"/>
  </si>
  <si>
    <t>Potato</t>
    <phoneticPr fontId="2" type="noConversion"/>
  </si>
  <si>
    <t>NSV</t>
    <phoneticPr fontId="2" type="noConversion"/>
  </si>
  <si>
    <t>CRV</t>
    <phoneticPr fontId="2" type="noConversion"/>
  </si>
  <si>
    <t>Ga</t>
    <phoneticPr fontId="2" type="noConversion"/>
  </si>
  <si>
    <t>RM</t>
    <phoneticPr fontId="2" type="noConversion"/>
  </si>
  <si>
    <t>RM</t>
    <phoneticPr fontId="2" type="noConversion"/>
  </si>
  <si>
    <t xml:space="preserve"> Spaghetti &amp; Meatballs</t>
    <phoneticPr fontId="2" type="noConversion"/>
  </si>
  <si>
    <t>western15</t>
    <phoneticPr fontId="2" type="noConversion"/>
  </si>
  <si>
    <t>seasoned bread crumbs</t>
    <phoneticPr fontId="2" type="noConversion"/>
  </si>
  <si>
    <t>grated Parmesan and Romano cheese blend</t>
    <phoneticPr fontId="2" type="noConversion"/>
  </si>
  <si>
    <t>large eggs</t>
    <phoneticPr fontId="2" type="noConversion"/>
  </si>
  <si>
    <t>large onion</t>
    <phoneticPr fontId="2" type="noConversion"/>
  </si>
  <si>
    <t>cans tomato sauce</t>
    <phoneticPr fontId="2" type="noConversion"/>
  </si>
  <si>
    <t>diced tomatoes</t>
    <phoneticPr fontId="2" type="noConversion"/>
  </si>
  <si>
    <t>bay leaves</t>
    <phoneticPr fontId="2" type="noConversion"/>
  </si>
  <si>
    <t>each dried basil, oregano and parsley flakes</t>
    <phoneticPr fontId="2" type="noConversion"/>
  </si>
  <si>
    <t>spaghetti</t>
    <phoneticPr fontId="2" type="noConversion"/>
  </si>
  <si>
    <t>Ch</t>
    <phoneticPr fontId="2" type="noConversion"/>
  </si>
  <si>
    <t>g</t>
    <phoneticPr fontId="2" type="noConversion"/>
  </si>
  <si>
    <t>E</t>
    <phoneticPr fontId="2" type="noConversion"/>
  </si>
  <si>
    <t>Blue Cheese-Crusted Sirloin Steaks</t>
    <phoneticPr fontId="2" type="noConversion"/>
  </si>
  <si>
    <t>western16</t>
    <phoneticPr fontId="2" type="noConversion"/>
  </si>
  <si>
    <t>crumbled blue cheese</t>
    <phoneticPr fontId="2" type="noConversion"/>
  </si>
  <si>
    <t>soft bread crumbs</t>
    <phoneticPr fontId="2" type="noConversion"/>
  </si>
  <si>
    <t xml:space="preserve">beef top sirloin steak </t>
    <phoneticPr fontId="2" type="noConversion"/>
  </si>
  <si>
    <t>asparagus</t>
    <phoneticPr fontId="2" type="noConversion"/>
  </si>
  <si>
    <t>GLS</t>
    <phoneticPr fontId="2" type="noConversion"/>
  </si>
  <si>
    <t>fresh broccoli florets</t>
    <phoneticPr fontId="2" type="noConversion"/>
  </si>
  <si>
    <t>minced fresh gingerroot</t>
    <phoneticPr fontId="2" type="noConversion"/>
  </si>
  <si>
    <t>canola oil</t>
    <phoneticPr fontId="2" type="noConversion"/>
  </si>
  <si>
    <t>sweet red pepper</t>
    <phoneticPr fontId="2" type="noConversion"/>
  </si>
  <si>
    <t>sliced water chestnuts</t>
    <phoneticPr fontId="2" type="noConversion"/>
  </si>
  <si>
    <t>NSV</t>
    <phoneticPr fontId="2" type="noConversion"/>
  </si>
  <si>
    <t>Bean &amp; Beef Slow-Cooked Chili</t>
    <phoneticPr fontId="2" type="noConversion"/>
  </si>
  <si>
    <t>western17</t>
    <phoneticPr fontId="2" type="noConversion"/>
  </si>
  <si>
    <t xml:space="preserve">lean ground beef </t>
    <phoneticPr fontId="2" type="noConversion"/>
  </si>
  <si>
    <t>large sweet onion</t>
    <phoneticPr fontId="2" type="noConversion"/>
  </si>
  <si>
    <t>pinto beans, rinsed and drained</t>
    <phoneticPr fontId="2" type="noConversion"/>
  </si>
  <si>
    <t>black beans, rinsed and drained</t>
    <phoneticPr fontId="2" type="noConversion"/>
  </si>
  <si>
    <t>chili powder</t>
    <phoneticPr fontId="2" type="noConversion"/>
  </si>
  <si>
    <t>ground cumin</t>
    <phoneticPr fontId="2" type="noConversion"/>
  </si>
  <si>
    <t xml:space="preserve"> salt</t>
    <phoneticPr fontId="2" type="noConversion"/>
  </si>
  <si>
    <t>diced tomatoes with mild green chilies</t>
    <phoneticPr fontId="2" type="noConversion"/>
  </si>
  <si>
    <t>CRV</t>
    <phoneticPr fontId="2" type="noConversion"/>
  </si>
  <si>
    <t>SF</t>
    <phoneticPr fontId="2" type="noConversion"/>
  </si>
  <si>
    <t>B</t>
    <phoneticPr fontId="2" type="noConversion"/>
  </si>
  <si>
    <t>Beef &amp; Rice Stuffed Cabbage Rolls</t>
    <phoneticPr fontId="2" type="noConversion"/>
  </si>
  <si>
    <t>western18</t>
    <phoneticPr fontId="2" type="noConversion"/>
  </si>
  <si>
    <t>cabbage leaves</t>
    <phoneticPr fontId="2" type="noConversion"/>
  </si>
  <si>
    <t>cooked brown rice</t>
    <phoneticPr fontId="2" type="noConversion"/>
  </si>
  <si>
    <t>finely chopped onion</t>
    <phoneticPr fontId="2" type="noConversion"/>
  </si>
  <si>
    <t>large egg,</t>
    <phoneticPr fontId="2" type="noConversion"/>
  </si>
  <si>
    <t>fat-free milk</t>
    <phoneticPr fontId="2" type="noConversion"/>
  </si>
  <si>
    <t>lean ground beef</t>
    <phoneticPr fontId="2" type="noConversion"/>
  </si>
  <si>
    <t>tomato sauce</t>
    <phoneticPr fontId="2" type="noConversion"/>
  </si>
  <si>
    <t>CV</t>
    <phoneticPr fontId="2" type="noConversion"/>
  </si>
  <si>
    <t>RG</t>
    <phoneticPr fontId="2" type="noConversion"/>
  </si>
  <si>
    <t>Egg</t>
    <phoneticPr fontId="2" type="noConversion"/>
  </si>
  <si>
    <t>western19</t>
    <phoneticPr fontId="2" type="noConversion"/>
  </si>
  <si>
    <t>paprika</t>
    <phoneticPr fontId="2" type="noConversion"/>
  </si>
  <si>
    <t>garlic powder</t>
    <phoneticPr fontId="2" type="noConversion"/>
  </si>
  <si>
    <t>pork baby back ribs</t>
    <phoneticPr fontId="2" type="noConversion"/>
  </si>
  <si>
    <t>reduced-sodium soy sauce</t>
    <phoneticPr fontId="2" type="noConversion"/>
  </si>
  <si>
    <t>Cobb Salad</t>
    <phoneticPr fontId="2" type="noConversion"/>
  </si>
  <si>
    <t>torn iceberg lettuce</t>
    <phoneticPr fontId="2" type="noConversion"/>
  </si>
  <si>
    <t>medium tomatoes</t>
    <phoneticPr fontId="2" type="noConversion"/>
  </si>
  <si>
    <t>diced fully cooked ham</t>
    <phoneticPr fontId="2" type="noConversion"/>
  </si>
  <si>
    <t>hard-boiled large eggs</t>
    <phoneticPr fontId="2" type="noConversion"/>
  </si>
  <si>
    <t>diced cooked turkey</t>
    <phoneticPr fontId="2" type="noConversion"/>
  </si>
  <si>
    <t>sliced fresh mushrooms</t>
    <phoneticPr fontId="2" type="noConversion"/>
  </si>
  <si>
    <t>RM</t>
    <phoneticPr fontId="2" type="noConversion"/>
  </si>
  <si>
    <t>PM</t>
    <phoneticPr fontId="2" type="noConversion"/>
  </si>
  <si>
    <t>WM</t>
    <phoneticPr fontId="2" type="noConversion"/>
  </si>
  <si>
    <t>NSV</t>
    <phoneticPr fontId="2" type="noConversion"/>
  </si>
  <si>
    <t>Ch</t>
    <phoneticPr fontId="2" type="noConversion"/>
  </si>
  <si>
    <t>Skillet Chicken Fajitas</t>
    <phoneticPr fontId="2" type="noConversion"/>
  </si>
  <si>
    <t>western20</t>
    <phoneticPr fontId="2" type="noConversion"/>
  </si>
  <si>
    <t>lime juice</t>
    <phoneticPr fontId="2" type="noConversion"/>
  </si>
  <si>
    <t>garlic clove</t>
    <phoneticPr fontId="2" type="noConversion"/>
  </si>
  <si>
    <t>olive oil</t>
    <phoneticPr fontId="2" type="noConversion"/>
  </si>
  <si>
    <t>boneless skinless chicken breasts, cut into strips</t>
    <phoneticPr fontId="2" type="noConversion"/>
  </si>
  <si>
    <t>medium sweet red pepper</t>
    <phoneticPr fontId="2" type="noConversion"/>
  </si>
  <si>
    <t>medium yellow pepper</t>
    <phoneticPr fontId="2" type="noConversion"/>
  </si>
  <si>
    <t>medium green pepper</t>
    <phoneticPr fontId="2" type="noConversion"/>
  </si>
  <si>
    <t>salsa</t>
    <phoneticPr fontId="2" type="noConversion"/>
  </si>
  <si>
    <t>flour tortillas (8 inches)</t>
    <phoneticPr fontId="2" type="noConversion"/>
  </si>
  <si>
    <t>shredded cheddar cheese or Monterey Jack cheese</t>
    <phoneticPr fontId="2" type="noConversion"/>
  </si>
  <si>
    <t>Ga</t>
    <phoneticPr fontId="2" type="noConversion"/>
  </si>
  <si>
    <t>RM</t>
    <phoneticPr fontId="2" type="noConversion"/>
  </si>
  <si>
    <t>NSV</t>
    <phoneticPr fontId="2" type="noConversion"/>
  </si>
  <si>
    <t>RG</t>
    <phoneticPr fontId="2" type="noConversion"/>
  </si>
  <si>
    <t>Ch</t>
    <phoneticPr fontId="2" type="noConversion"/>
  </si>
  <si>
    <t>Basic Buttermilk Pancakes</t>
    <phoneticPr fontId="2" type="noConversion"/>
  </si>
  <si>
    <t>bluberry</t>
    <phoneticPr fontId="2" type="noConversion"/>
  </si>
  <si>
    <t>American Flag Fruit Toast</t>
    <phoneticPr fontId="2" type="noConversion"/>
  </si>
  <si>
    <t>Easy Eggs Benedict</t>
    <phoneticPr fontId="2" type="noConversion"/>
  </si>
  <si>
    <t>Juicy Broiled Burger</t>
    <phoneticPr fontId="2" type="noConversion"/>
  </si>
  <si>
    <t xml:space="preserve">Thin and Crispy French Fries </t>
    <phoneticPr fontId="2" type="noConversion"/>
  </si>
  <si>
    <t>Biscuit</t>
    <phoneticPr fontId="2" type="noConversion"/>
  </si>
  <si>
    <t>Broccoli with Red Pepper</t>
    <phoneticPr fontId="2" type="noConversion"/>
  </si>
  <si>
    <t>Chili-Rubbed Ribs</t>
    <phoneticPr fontId="2" type="noConversion"/>
  </si>
  <si>
    <t>asian01</t>
    <phoneticPr fontId="2" type="noConversion"/>
  </si>
  <si>
    <t>allrecipekorea</t>
    <phoneticPr fontId="2" type="noConversion"/>
  </si>
  <si>
    <t>RG</t>
    <phoneticPr fontId="2" type="noConversion"/>
  </si>
  <si>
    <t>asian02</t>
    <phoneticPr fontId="2" type="noConversion"/>
  </si>
  <si>
    <t>NSV</t>
    <phoneticPr fontId="2" type="noConversion"/>
  </si>
  <si>
    <t>ts</t>
    <phoneticPr fontId="2" type="noConversion"/>
  </si>
  <si>
    <t>asian03</t>
    <phoneticPr fontId="2" type="noConversion"/>
  </si>
  <si>
    <t>asian04</t>
    <phoneticPr fontId="2" type="noConversion"/>
  </si>
  <si>
    <t>asian05</t>
    <phoneticPr fontId="2" type="noConversion"/>
  </si>
  <si>
    <t>SF</t>
    <phoneticPr fontId="2" type="noConversion"/>
  </si>
  <si>
    <t>asian06</t>
    <phoneticPr fontId="2" type="noConversion"/>
  </si>
  <si>
    <t>asian07</t>
    <phoneticPr fontId="2" type="noConversion"/>
  </si>
  <si>
    <t>청양고추</t>
    <phoneticPr fontId="2" type="noConversion"/>
  </si>
  <si>
    <t>asian08</t>
    <phoneticPr fontId="2" type="noConversion"/>
  </si>
  <si>
    <t>asian09</t>
    <phoneticPr fontId="2" type="noConversion"/>
  </si>
  <si>
    <t>Egg</t>
    <phoneticPr fontId="2" type="noConversion"/>
  </si>
  <si>
    <t>asian10</t>
    <phoneticPr fontId="2" type="noConversion"/>
  </si>
  <si>
    <t>Le</t>
    <phoneticPr fontId="2" type="noConversion"/>
  </si>
  <si>
    <t>캔프로</t>
    <phoneticPr fontId="2" type="noConversion"/>
  </si>
  <si>
    <t>대두</t>
    <phoneticPr fontId="2" type="noConversion"/>
  </si>
  <si>
    <t>앵두</t>
    <phoneticPr fontId="2" type="noConversion"/>
  </si>
  <si>
    <t>wheat germ</t>
    <phoneticPr fontId="2" type="noConversion"/>
  </si>
  <si>
    <t>보리가루</t>
    <phoneticPr fontId="2" type="noConversion"/>
  </si>
  <si>
    <t>양상추</t>
    <phoneticPr fontId="2" type="noConversion"/>
  </si>
  <si>
    <t>크렌베리</t>
    <phoneticPr fontId="2" type="noConversion"/>
  </si>
  <si>
    <t>SF</t>
    <phoneticPr fontId="2" type="noConversion"/>
  </si>
  <si>
    <t>작두콩</t>
    <phoneticPr fontId="2" type="noConversion"/>
  </si>
  <si>
    <t>토스트,프렌치버터</t>
    <phoneticPr fontId="2" type="noConversion"/>
  </si>
  <si>
    <t>상추</t>
    <phoneticPr fontId="2" type="noConversion"/>
  </si>
  <si>
    <t>Tomato &amp; Artichoke Gnocchi</t>
    <phoneticPr fontId="2" type="noConversion"/>
  </si>
  <si>
    <t>스파게티</t>
    <phoneticPr fontId="2" type="noConversion"/>
  </si>
  <si>
    <t>SF</t>
    <phoneticPr fontId="2" type="noConversion"/>
  </si>
  <si>
    <t>SF</t>
    <phoneticPr fontId="2" type="noConversion"/>
  </si>
  <si>
    <t>아스파라거스</t>
    <phoneticPr fontId="2" type="noConversion"/>
  </si>
  <si>
    <t>오렌지</t>
    <phoneticPr fontId="2" type="noConversion"/>
  </si>
  <si>
    <t>Cod with Vegetables &amp; Couscous</t>
    <phoneticPr fontId="2" type="noConversion"/>
  </si>
  <si>
    <t>베이글</t>
    <phoneticPr fontId="2" type="noConversion"/>
  </si>
  <si>
    <t>mixed greens</t>
    <phoneticPr fontId="2" type="noConversion"/>
  </si>
  <si>
    <t>Spiced Chickpea Nuts</t>
    <phoneticPr fontId="2" type="noConversion"/>
  </si>
  <si>
    <t>Vegetarian01</t>
    <phoneticPr fontId="2" type="noConversion"/>
  </si>
  <si>
    <t>mayo clinic</t>
    <phoneticPr fontId="2" type="noConversion"/>
  </si>
  <si>
    <t>chopped ripe plum tomatoes</t>
    <phoneticPr fontId="2" type="noConversion"/>
  </si>
  <si>
    <t>chopped fresh basil</t>
    <phoneticPr fontId="2" type="noConversion"/>
  </si>
  <si>
    <t>red pepper flakes</t>
    <phoneticPr fontId="2" type="noConversion"/>
  </si>
  <si>
    <t>Le</t>
    <phoneticPr fontId="2" type="noConversion"/>
  </si>
  <si>
    <t>Ga</t>
    <phoneticPr fontId="2" type="noConversion"/>
  </si>
  <si>
    <t>Le</t>
    <phoneticPr fontId="2" type="noConversion"/>
  </si>
  <si>
    <t>WG</t>
    <phoneticPr fontId="2" type="noConversion"/>
  </si>
  <si>
    <t>Vegetarian02</t>
    <phoneticPr fontId="2" type="noConversion"/>
  </si>
  <si>
    <t>Asparagus with hazelnut gremolata</t>
    <phoneticPr fontId="2" type="noConversion"/>
  </si>
  <si>
    <t>chopped fresh flat-leaf (Italian) parsley</t>
    <phoneticPr fontId="2" type="noConversion"/>
  </si>
  <si>
    <t xml:space="preserve">hazelnuts </t>
    <phoneticPr fontId="2" type="noConversion"/>
  </si>
  <si>
    <t>fresh lemon juice</t>
    <phoneticPr fontId="2" type="noConversion"/>
  </si>
  <si>
    <t>Mango salsa pizza</t>
    <phoneticPr fontId="2" type="noConversion"/>
  </si>
  <si>
    <t>onion</t>
    <phoneticPr fontId="2" type="noConversion"/>
  </si>
  <si>
    <t>mango</t>
    <phoneticPr fontId="2" type="noConversion"/>
  </si>
  <si>
    <t>pineapple tidbits</t>
    <phoneticPr fontId="2" type="noConversion"/>
  </si>
  <si>
    <t>whole-grain pizza crust</t>
    <phoneticPr fontId="2" type="noConversion"/>
  </si>
  <si>
    <t>inch</t>
    <phoneticPr fontId="2" type="noConversion"/>
  </si>
  <si>
    <t>red or green bell peppers</t>
    <phoneticPr fontId="2" type="noConversion"/>
  </si>
  <si>
    <t>Vegetarian03</t>
    <phoneticPr fontId="2" type="noConversion"/>
  </si>
  <si>
    <t>small yellow zucchini</t>
    <phoneticPr fontId="2" type="noConversion"/>
  </si>
  <si>
    <t>small green zucchini</t>
    <phoneticPr fontId="2" type="noConversion"/>
  </si>
  <si>
    <t>trans-free margarine</t>
    <phoneticPr fontId="2" type="noConversion"/>
  </si>
  <si>
    <t>frozen spinach</t>
    <phoneticPr fontId="2" type="noConversion"/>
  </si>
  <si>
    <t>plum (Roma) tomatoes</t>
    <phoneticPr fontId="2" type="noConversion"/>
  </si>
  <si>
    <t>dry-packed sun-dried tomatoes, soaked in water to rehydrate, drained and chopped</t>
    <phoneticPr fontId="2" type="noConversion"/>
  </si>
  <si>
    <t>ripe olives</t>
    <phoneticPr fontId="2" type="noConversion"/>
  </si>
  <si>
    <t>oregano</t>
    <phoneticPr fontId="2" type="noConversion"/>
  </si>
  <si>
    <t>Ga</t>
    <phoneticPr fontId="2" type="noConversion"/>
  </si>
  <si>
    <t>Vegetarian04</t>
    <phoneticPr fontId="2" type="noConversion"/>
  </si>
  <si>
    <t>Rice noodles with spring vegetables</t>
    <phoneticPr fontId="2" type="noConversion"/>
  </si>
  <si>
    <t>rice noodles</t>
    <phoneticPr fontId="2" type="noConversion"/>
  </si>
  <si>
    <t>sesame oil</t>
    <phoneticPr fontId="2" type="noConversion"/>
  </si>
  <si>
    <t>grated fresh ginger</t>
    <phoneticPr fontId="2" type="noConversion"/>
  </si>
  <si>
    <t>low-sodium soy sauce</t>
    <phoneticPr fontId="2" type="noConversion"/>
  </si>
  <si>
    <t>small broccoli florets</t>
    <phoneticPr fontId="2" type="noConversion"/>
  </si>
  <si>
    <t>fresh bean sprouts</t>
    <phoneticPr fontId="2" type="noConversion"/>
  </si>
  <si>
    <t>scallions</t>
    <phoneticPr fontId="2" type="noConversion"/>
  </si>
  <si>
    <t>head cauliflower</t>
    <phoneticPr fontId="2" type="noConversion"/>
  </si>
  <si>
    <t xml:space="preserve">clove garlic </t>
    <phoneticPr fontId="2" type="noConversion"/>
  </si>
  <si>
    <t>soft-tub margarine, nonhydrogenated</t>
    <phoneticPr fontId="2" type="noConversion"/>
  </si>
  <si>
    <t>RG</t>
    <phoneticPr fontId="2" type="noConversion"/>
  </si>
  <si>
    <t>CV</t>
    <phoneticPr fontId="2" type="noConversion"/>
  </si>
  <si>
    <t>AV</t>
    <phoneticPr fontId="2" type="noConversion"/>
  </si>
  <si>
    <t>AV</t>
    <phoneticPr fontId="2" type="noConversion"/>
  </si>
  <si>
    <t>Vegetarian05</t>
    <phoneticPr fontId="2" type="noConversion"/>
  </si>
  <si>
    <t>green zucchini</t>
    <phoneticPr fontId="2" type="noConversion"/>
  </si>
  <si>
    <t>large garlic cloves</t>
    <phoneticPr fontId="2" type="noConversion"/>
  </si>
  <si>
    <t>canned pinto or black beans</t>
    <phoneticPr fontId="2" type="noConversion"/>
  </si>
  <si>
    <t>cilantro</t>
    <phoneticPr fontId="2" type="noConversion"/>
  </si>
  <si>
    <t>corn tortillas</t>
    <phoneticPr fontId="2" type="noConversion"/>
  </si>
  <si>
    <t>smoke-flavored salsa</t>
    <phoneticPr fontId="2" type="noConversion"/>
  </si>
  <si>
    <t>WG</t>
    <phoneticPr fontId="2" type="noConversion"/>
  </si>
  <si>
    <t>Vegetarian06</t>
    <phoneticPr fontId="2" type="noConversion"/>
  </si>
  <si>
    <t>Yellow lentils with spinach and ginger</t>
    <phoneticPr fontId="2" type="noConversion"/>
  </si>
  <si>
    <t>white or black sesame seeds</t>
    <phoneticPr fontId="2" type="noConversion"/>
  </si>
  <si>
    <t>curry powder</t>
    <phoneticPr fontId="2" type="noConversion"/>
  </si>
  <si>
    <t>ground turmeric</t>
    <phoneticPr fontId="2" type="noConversion"/>
  </si>
  <si>
    <t>yellow lentils</t>
    <phoneticPr fontId="2" type="noConversion"/>
  </si>
  <si>
    <t>light coconut milk</t>
    <phoneticPr fontId="2" type="noConversion"/>
  </si>
  <si>
    <t>baby spinach leaves</t>
    <phoneticPr fontId="2" type="noConversion"/>
  </si>
  <si>
    <t>large eggplant</t>
    <phoneticPr fontId="2" type="noConversion"/>
  </si>
  <si>
    <t>ground coriander</t>
    <phoneticPr fontId="2" type="noConversion"/>
  </si>
  <si>
    <t>light molasses</t>
    <phoneticPr fontId="2" type="noConversion"/>
  </si>
  <si>
    <t>chopped fresh cilantro</t>
    <phoneticPr fontId="2" type="noConversion"/>
  </si>
  <si>
    <t>Le</t>
    <phoneticPr fontId="2" type="noConversion"/>
  </si>
  <si>
    <t>mustard seed</t>
    <phoneticPr fontId="2" type="noConversion"/>
  </si>
  <si>
    <t>CRV</t>
    <phoneticPr fontId="2" type="noConversion"/>
  </si>
  <si>
    <t>Ga</t>
    <phoneticPr fontId="2" type="noConversion"/>
  </si>
  <si>
    <t>Vegetarian07</t>
    <phoneticPr fontId="2" type="noConversion"/>
  </si>
  <si>
    <t>chopped basil</t>
    <phoneticPr fontId="2" type="noConversion"/>
  </si>
  <si>
    <t>chopped parsley</t>
    <phoneticPr fontId="2" type="noConversion"/>
  </si>
  <si>
    <t>tomatoe</t>
    <phoneticPr fontId="2" type="noConversion"/>
  </si>
  <si>
    <t>diced fennel</t>
    <phoneticPr fontId="2" type="noConversion"/>
  </si>
  <si>
    <t>Apple-fennel slaw</t>
    <phoneticPr fontId="2" type="noConversion"/>
  </si>
  <si>
    <t>medium-sized fennel bulb</t>
    <phoneticPr fontId="2" type="noConversion"/>
  </si>
  <si>
    <t>raisins</t>
    <phoneticPr fontId="2" type="noConversion"/>
  </si>
  <si>
    <t>apple cider vinegar</t>
    <phoneticPr fontId="2" type="noConversion"/>
  </si>
  <si>
    <t>WG</t>
    <phoneticPr fontId="2" type="noConversion"/>
  </si>
  <si>
    <t>whole-grain baguette</t>
    <phoneticPr fontId="2" type="noConversion"/>
  </si>
  <si>
    <t>Fr</t>
    <phoneticPr fontId="2" type="noConversion"/>
  </si>
  <si>
    <t>large Granny Smith apple</t>
    <phoneticPr fontId="2" type="noConversion"/>
  </si>
  <si>
    <t>apple juice</t>
    <phoneticPr fontId="2" type="noConversion"/>
  </si>
  <si>
    <t>Vegetarian08</t>
    <phoneticPr fontId="2" type="noConversion"/>
  </si>
  <si>
    <t>carrot</t>
    <phoneticPr fontId="2" type="noConversion"/>
  </si>
  <si>
    <t>red bell pepper</t>
    <phoneticPr fontId="2" type="noConversion"/>
  </si>
  <si>
    <t>yellow onion</t>
    <phoneticPr fontId="2" type="noConversion"/>
  </si>
  <si>
    <t>red cabbage</t>
    <phoneticPr fontId="2" type="noConversion"/>
  </si>
  <si>
    <t>spinach</t>
    <phoneticPr fontId="2" type="noConversion"/>
  </si>
  <si>
    <t>cilantro</t>
    <phoneticPr fontId="2" type="noConversion"/>
  </si>
  <si>
    <t>C</t>
    <phoneticPr fontId="2" type="noConversion"/>
  </si>
  <si>
    <t>toasted sesame oil</t>
    <phoneticPr fontId="2" type="noConversion"/>
  </si>
  <si>
    <t>Baked apples with cherries and almonds</t>
    <phoneticPr fontId="2" type="noConversion"/>
  </si>
  <si>
    <t>wheat germ</t>
    <phoneticPr fontId="2" type="noConversion"/>
  </si>
  <si>
    <t>firmly packed brown sugar</t>
    <phoneticPr fontId="2" type="noConversion"/>
  </si>
  <si>
    <t>ground cinnamon</t>
    <phoneticPr fontId="2" type="noConversion"/>
  </si>
  <si>
    <t>ground nutmeg</t>
    <phoneticPr fontId="2" type="noConversion"/>
  </si>
  <si>
    <t>walnut oil or canola oil</t>
    <phoneticPr fontId="2" type="noConversion"/>
  </si>
  <si>
    <t>CRV</t>
    <phoneticPr fontId="2" type="noConversion"/>
  </si>
  <si>
    <t>cashews</t>
    <phoneticPr fontId="2" type="noConversion"/>
  </si>
  <si>
    <t>snow peas</t>
    <phoneticPr fontId="2" type="noConversion"/>
  </si>
  <si>
    <t>chopped almonds</t>
    <phoneticPr fontId="2" type="noConversion"/>
  </si>
  <si>
    <t>WG</t>
    <phoneticPr fontId="2" type="noConversion"/>
  </si>
  <si>
    <t>RG</t>
    <phoneticPr fontId="2" type="noConversion"/>
  </si>
  <si>
    <t>Vegetarian09</t>
    <phoneticPr fontId="2" type="noConversion"/>
  </si>
  <si>
    <t>chickpeas</t>
    <phoneticPr fontId="2" type="noConversion"/>
  </si>
  <si>
    <t>unsalted vegetable juice</t>
    <phoneticPr fontId="2" type="noConversion"/>
  </si>
  <si>
    <t>red onion</t>
    <phoneticPr fontId="2" type="noConversion"/>
  </si>
  <si>
    <t>hot pepper sauce</t>
    <phoneticPr fontId="2" type="noConversion"/>
  </si>
  <si>
    <t>lime wedges</t>
    <phoneticPr fontId="2" type="noConversion"/>
  </si>
  <si>
    <t>lemon Juice</t>
    <phoneticPr fontId="2" type="noConversion"/>
  </si>
  <si>
    <t>whole-wheat flour</t>
    <phoneticPr fontId="2" type="noConversion"/>
  </si>
  <si>
    <t>packed dark brown sugar</t>
    <phoneticPr fontId="2" type="noConversion"/>
  </si>
  <si>
    <t>quick-cooking oats (uncooked)</t>
    <phoneticPr fontId="2" type="noConversion"/>
  </si>
  <si>
    <t>AV</t>
    <phoneticPr fontId="2" type="noConversion"/>
  </si>
  <si>
    <t>GLS</t>
    <phoneticPr fontId="2" type="noConversion"/>
  </si>
  <si>
    <t>Ga</t>
    <phoneticPr fontId="2" type="noConversion"/>
  </si>
  <si>
    <t>peaches</t>
    <phoneticPr fontId="2" type="noConversion"/>
  </si>
  <si>
    <t>RG</t>
    <phoneticPr fontId="2" type="noConversion"/>
  </si>
  <si>
    <t>Vegetarian10</t>
    <phoneticPr fontId="2" type="noConversion"/>
  </si>
  <si>
    <t>Vegetarian chili</t>
    <phoneticPr fontId="2" type="noConversion"/>
  </si>
  <si>
    <t>bell pepper</t>
    <phoneticPr fontId="2" type="noConversion"/>
  </si>
  <si>
    <t>Fresno peppers</t>
    <phoneticPr fontId="2" type="noConversion"/>
  </si>
  <si>
    <t xml:space="preserve">crushed tomatoes </t>
    <phoneticPr fontId="2" type="noConversion"/>
  </si>
  <si>
    <t>cooked pinto beans (no salt added; if canned, rinse under water)</t>
    <phoneticPr fontId="2" type="noConversion"/>
  </si>
  <si>
    <t>cumin</t>
    <phoneticPr fontId="2" type="noConversion"/>
  </si>
  <si>
    <t>Orange dream</t>
    <phoneticPr fontId="2" type="noConversion"/>
  </si>
  <si>
    <t xml:space="preserve">light vanilla soy milk </t>
    <phoneticPr fontId="2" type="noConversion"/>
  </si>
  <si>
    <t>silken or soft tofu</t>
    <phoneticPr fontId="2" type="noConversion"/>
  </si>
  <si>
    <t>peeled orange segments</t>
    <phoneticPr fontId="2" type="noConversion"/>
  </si>
  <si>
    <t>AV</t>
    <phoneticPr fontId="2" type="noConversion"/>
  </si>
  <si>
    <t>CRV</t>
    <phoneticPr fontId="2" type="noConversion"/>
  </si>
  <si>
    <t>SF</t>
    <phoneticPr fontId="2" type="noConversion"/>
  </si>
  <si>
    <t>Kalamata olives</t>
    <phoneticPr fontId="2" type="noConversion"/>
  </si>
  <si>
    <t>비타민새싹</t>
    <phoneticPr fontId="2" type="noConversion"/>
  </si>
  <si>
    <t>Cauliflower mashed potatoes</t>
    <phoneticPr fontId="2" type="noConversion"/>
  </si>
  <si>
    <t>브로콜리</t>
    <phoneticPr fontId="2" type="noConversion"/>
  </si>
  <si>
    <t>서양호박</t>
    <phoneticPr fontId="2" type="noConversion"/>
  </si>
  <si>
    <t>모닝빵</t>
    <phoneticPr fontId="2" type="noConversion"/>
  </si>
  <si>
    <t>대두,미국산</t>
    <phoneticPr fontId="2" type="noConversion"/>
  </si>
  <si>
    <t>참깨</t>
    <phoneticPr fontId="2" type="noConversion"/>
  </si>
  <si>
    <t>하드롤</t>
    <phoneticPr fontId="2" type="noConversion"/>
  </si>
  <si>
    <t>양파</t>
    <phoneticPr fontId="2" type="noConversion"/>
  </si>
  <si>
    <t>대두,노란콩</t>
    <phoneticPr fontId="2" type="noConversion"/>
  </si>
  <si>
    <t>dark honey</t>
    <phoneticPr fontId="2" type="noConversion"/>
  </si>
  <si>
    <t>면실유</t>
    <phoneticPr fontId="2" type="noConversion"/>
  </si>
  <si>
    <t>붉은피망</t>
    <phoneticPr fontId="2" type="noConversion"/>
  </si>
  <si>
    <t>대두</t>
    <phoneticPr fontId="2" type="noConversion"/>
  </si>
  <si>
    <t>Soft tacos with southwestern vegetables</t>
    <phoneticPr fontId="2" type="noConversion"/>
  </si>
  <si>
    <t>Eggplant with toasted spices</t>
    <phoneticPr fontId="2" type="noConversion"/>
  </si>
  <si>
    <t>Asian vegetable salad</t>
    <phoneticPr fontId="2" type="noConversion"/>
  </si>
  <si>
    <t>Peach crumble</t>
    <phoneticPr fontId="2" type="noConversion"/>
  </si>
  <si>
    <t>양상추70,붉은양배추70,상추35</t>
    <phoneticPr fontId="2" type="noConversion"/>
  </si>
  <si>
    <t>올리브유</t>
    <phoneticPr fontId="2" type="noConversion"/>
  </si>
  <si>
    <t>베이글</t>
    <phoneticPr fontId="2" type="noConversion"/>
  </si>
  <si>
    <t>대두</t>
    <phoneticPr fontId="2" type="noConversion"/>
  </si>
  <si>
    <t>콩밀가루</t>
    <phoneticPr fontId="2" type="noConversion"/>
  </si>
  <si>
    <t>대두</t>
    <phoneticPr fontId="2" type="noConversion"/>
  </si>
  <si>
    <t>CV</t>
    <phoneticPr fontId="2" type="noConversion"/>
  </si>
  <si>
    <t>배추</t>
    <phoneticPr fontId="2" type="noConversion"/>
  </si>
  <si>
    <t>freshly grated Parmesan cheese</t>
    <phoneticPr fontId="2" type="noConversion"/>
  </si>
  <si>
    <t>eatingwell</t>
    <phoneticPr fontId="2" type="noConversion"/>
  </si>
  <si>
    <t>밀가루</t>
    <phoneticPr fontId="2" type="noConversion"/>
  </si>
  <si>
    <t>통밀가루</t>
    <phoneticPr fontId="2" type="noConversion"/>
  </si>
  <si>
    <t>파슬리</t>
    <phoneticPr fontId="2" type="noConversion"/>
  </si>
  <si>
    <t>아스파라거스</t>
    <phoneticPr fontId="2" type="noConversion"/>
  </si>
  <si>
    <t>브로콜리</t>
    <phoneticPr fontId="2" type="noConversion"/>
  </si>
  <si>
    <t>참깨</t>
    <phoneticPr fontId="2" type="noConversion"/>
  </si>
  <si>
    <t>RG</t>
    <phoneticPr fontId="2" type="noConversion"/>
  </si>
  <si>
    <t>KH01</t>
    <phoneticPr fontId="16" type="noConversion"/>
  </si>
  <si>
    <t>KH02</t>
  </si>
  <si>
    <t>KH03</t>
  </si>
  <si>
    <t>KH04</t>
  </si>
  <si>
    <t>KH05</t>
  </si>
  <si>
    <t>KH06</t>
  </si>
  <si>
    <t>KH07</t>
  </si>
  <si>
    <t>KH08</t>
  </si>
  <si>
    <t>KH09</t>
  </si>
  <si>
    <t>KH10</t>
  </si>
  <si>
    <t>KH11</t>
  </si>
  <si>
    <t>KH12</t>
  </si>
  <si>
    <t>KH13</t>
  </si>
  <si>
    <t>KH14</t>
  </si>
  <si>
    <t>KH15</t>
  </si>
  <si>
    <t>KE02</t>
  </si>
  <si>
    <t>KE03</t>
  </si>
  <si>
    <t>KE04</t>
  </si>
  <si>
    <t>KE05</t>
  </si>
  <si>
    <t>KE06</t>
  </si>
  <si>
    <t>KE07</t>
  </si>
  <si>
    <t>KE08</t>
  </si>
  <si>
    <t>KE09</t>
  </si>
  <si>
    <t>KE10</t>
  </si>
  <si>
    <t>KE11</t>
  </si>
  <si>
    <t>KE12</t>
  </si>
  <si>
    <t>KE13</t>
  </si>
  <si>
    <t>KE14</t>
  </si>
  <si>
    <t>KE15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</si>
  <si>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</si>
  <si>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</si>
  <si>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</si>
  <si>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</si>
  <si>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</si>
  <si>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</si>
  <si>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</si>
  <si>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</si>
  <si>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</si>
  <si>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M02</t>
  </si>
  <si>
    <t>S</t>
    <phoneticPr fontId="2" type="noConversion"/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</si>
  <si>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</si>
  <si>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</si>
  <si>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</si>
  <si>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</si>
  <si>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</si>
  <si>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</si>
  <si>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</si>
  <si>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</si>
  <si>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</si>
  <si>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</si>
  <si>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</si>
  <si>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</si>
  <si>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</si>
  <si>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</si>
  <si>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</si>
  <si>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</si>
  <si>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</si>
  <si>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</si>
  <si>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V02</t>
  </si>
  <si>
    <t>V03</t>
  </si>
  <si>
    <t>V04</t>
  </si>
  <si>
    <t>V05</t>
  </si>
  <si>
    <t>Soft tacos with southwestern vegetables</t>
  </si>
  <si>
    <t>V06</t>
  </si>
  <si>
    <t>V07</t>
  </si>
  <si>
    <t>V08</t>
  </si>
  <si>
    <t>V09</t>
  </si>
  <si>
    <t>V10</t>
  </si>
  <si>
    <t>American Flag Fruit Toast</t>
  </si>
  <si>
    <t>Easy Eggs Benedict</t>
  </si>
  <si>
    <t xml:space="preserve">Grilled Hot Dogs With Sauerkraut </t>
  </si>
  <si>
    <t>eatingwell</t>
    <phoneticPr fontId="2" type="noConversion"/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</si>
  <si>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</si>
  <si>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</si>
  <si>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</si>
  <si>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</si>
  <si>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</si>
  <si>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</si>
  <si>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</si>
  <si>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</si>
  <si>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</si>
  <si>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Barley rice, bean sprout soup, grilled croaker, bulgogi, seasoned cucumber</t>
  </si>
  <si>
    <t>Bibimbap, beef stew, kimchi</t>
  </si>
  <si>
    <t>Noodles in cold soybean soup, kimchi</t>
  </si>
  <si>
    <t>Rice, gomtang, diced radish kimchi</t>
  </si>
  <si>
    <t>Rice, ramen, kimchi</t>
  </si>
  <si>
    <t>Milk, corn flakes</t>
  </si>
  <si>
    <t>Rice, yukgaejang, diced radish kimchi</t>
  </si>
  <si>
    <t>Abalone rice porridge, diced radish kimchi</t>
  </si>
  <si>
    <t>Rice30, pork belly150, lettuce, garlic, sesame leaf, green pepper, ssamjang, kimchi</t>
  </si>
  <si>
    <t>Stir-fried rice cake</t>
  </si>
  <si>
    <t>Sushi, miso soup, crystallized ginger</t>
  </si>
  <si>
    <t>Rice, Korean sausage soup, diced radish kimchi</t>
  </si>
  <si>
    <t>Ham egg sandwich, orange juice</t>
  </si>
  <si>
    <t>Banquet noodles, kimchi</t>
  </si>
  <si>
    <t>Chinese fried rice, champon stew, pickled radish</t>
  </si>
  <si>
    <t>Gimbap, clear broth, pickled radish</t>
  </si>
  <si>
    <t>Fried Chicken, pickled radishe(white)</t>
  </si>
  <si>
    <t>Raw fish bibimbap with tuna, miso soup, crystallized ginger</t>
  </si>
  <si>
    <t>wonton</t>
  </si>
  <si>
    <t>Kung-bao chicken</t>
  </si>
  <si>
    <t>Braised eggplant</t>
  </si>
  <si>
    <t>Stir-fried Pork Strips in Fish Sauce</t>
  </si>
  <si>
    <t>Mapa tofu</t>
  </si>
  <si>
    <t>Cihongsu chao zidan</t>
  </si>
  <si>
    <t>Fried pork belly in soy sauce</t>
  </si>
  <si>
    <t>Fried potato, green pepper and eggplant</t>
  </si>
  <si>
    <t>Scrambled eggs with chives</t>
  </si>
  <si>
    <t>Deep-fried shrimp in hot pepper sau</t>
  </si>
  <si>
    <t>Greek yogurt, strawberries, oats</t>
  </si>
  <si>
    <t>Barley and roasted tomato risotto, Artichokes alla Romana, Almond and apricot biscotti</t>
  </si>
  <si>
    <t>Grouper with tomato-olive sauce, Bean salad with balsamic vinaigrette, Baked apples with cherries and almonds</t>
  </si>
  <si>
    <t>Mediterranean-style grilled salmon, Beet walnut salad, Berries marinated in balsamic vinegar</t>
  </si>
  <si>
    <t>Pasta with spinach, garbanzos and raisins, Braised kale with cherry tomatoes, Poached pears</t>
  </si>
  <si>
    <t>Tuscan white bean stew, Fresh tomato crostini</t>
  </si>
  <si>
    <t>Vegetable and garlic calzone, Roasted red pepper with feta salad, hard-boiled egg seasoned with a pinch each of salt and pepper</t>
  </si>
  <si>
    <t>Green Salad with Spiced Chickpea Nuts, walnut, dried apricots</t>
  </si>
  <si>
    <t>Tomato &amp; Artichoke Gnocchi, mixed greens</t>
  </si>
  <si>
    <t>Egg &amp; Toast Breakfast, Spiced Chickpea Nuts</t>
  </si>
  <si>
    <t>Cod with Vegetables &amp; Couscous, medium apple</t>
  </si>
  <si>
    <t>Green Salad with Pita Bread &amp; Hummus, nonfat plain Greek yogurt topped with strawberries</t>
  </si>
  <si>
    <t>Italian Egg Drop Soup, arugula, whole-wheat bread, toasted and drizzled</t>
  </si>
  <si>
    <t>Roast Pork, Asparagus &amp; Cherry Tomato Bowl, sliced strawberries</t>
  </si>
  <si>
    <t>Chicken Saltimbocca, whole-wheat couscous, steamed broccoli florets</t>
  </si>
  <si>
    <t>Grilled Polenta &amp; Vegetables with Lemon-Caper Vinaigrette, medium plum</t>
  </si>
  <si>
    <t>Cauliflower, Pancetta &amp; Olive Spaghetti, hard-bolied egg seasoned with a pinch each of salt and pepper</t>
  </si>
  <si>
    <t>Garlic, Sausage &amp; Kale Naan Pizzas, medium carrots</t>
  </si>
  <si>
    <t>Sugar Snap Pea Salad, Oatmeal with Fruit &amp; Nuts, clementine</t>
  </si>
  <si>
    <t>Fresh puttanesca with brown rice</t>
  </si>
  <si>
    <t>Asparagus with hazelnut gremolata, Mango salsa pizza</t>
  </si>
  <si>
    <t>Rice noodles with spring vegetables, Cauliflower mashed potatoes</t>
  </si>
  <si>
    <t>Yellow lentils with spinach and ginger, Eggplant with toasted spices</t>
  </si>
  <si>
    <t>Tomato basil bruschetta, Apple-fennel slaw</t>
  </si>
  <si>
    <t>Asian vegetable salad, Baked apples with cherries and almonds</t>
  </si>
  <si>
    <t>Gazpacho with chickpeas, Peach crumble</t>
  </si>
  <si>
    <t>Vegetarian chili, Orange dream</t>
  </si>
  <si>
    <t>bean paste stew</t>
  </si>
  <si>
    <t>fried egg</t>
  </si>
  <si>
    <t>seasoned spinach</t>
  </si>
  <si>
    <t>kimchi</t>
  </si>
  <si>
    <t>seaweed soup</t>
  </si>
  <si>
    <t>stir fried anchovy</t>
  </si>
  <si>
    <t>braised tofu</t>
  </si>
  <si>
    <t>seasoned eggplant</t>
  </si>
  <si>
    <t>young radish kimchi</t>
  </si>
  <si>
    <t>pork belly</t>
  </si>
  <si>
    <t>lettuce</t>
  </si>
  <si>
    <t>garlic</t>
  </si>
  <si>
    <t>sesame leaf</t>
  </si>
  <si>
    <t>green pepper</t>
  </si>
  <si>
    <t>ssamjang</t>
  </si>
  <si>
    <t>kimchi stew</t>
  </si>
  <si>
    <t>grilled mackerel</t>
    <phoneticPr fontId="2" type="noConversion"/>
  </si>
  <si>
    <t>seasoned bracken</t>
    <phoneticPr fontId="2" type="noConversion"/>
  </si>
  <si>
    <t>bean sprout soup</t>
    <phoneticPr fontId="2" type="noConversion"/>
  </si>
  <si>
    <t>bulgogi</t>
  </si>
  <si>
    <t>seasoned cucumber</t>
    <phoneticPr fontId="2" type="noConversion"/>
  </si>
  <si>
    <t>Samgyetang</t>
    <phoneticPr fontId="2" type="noConversion"/>
  </si>
  <si>
    <t>diced radish kimchi</t>
  </si>
  <si>
    <t>Bibimbap</t>
  </si>
  <si>
    <t>beef stew</t>
  </si>
  <si>
    <t>Noodles in cold soybean soup</t>
    <phoneticPr fontId="2" type="noConversion"/>
  </si>
  <si>
    <t>gomtang</t>
  </si>
  <si>
    <t>ramen</t>
  </si>
  <si>
    <t>corn flakes</t>
  </si>
  <si>
    <t>braised Short Ribs</t>
  </si>
  <si>
    <t>japchae</t>
    <phoneticPr fontId="2" type="noConversion"/>
  </si>
  <si>
    <t>Curry</t>
    <phoneticPr fontId="2" type="noConversion"/>
  </si>
  <si>
    <t>yukgaejang</t>
  </si>
  <si>
    <t>Abalone rice porridge</t>
  </si>
  <si>
    <t>pork belly150</t>
    <phoneticPr fontId="2" type="noConversion"/>
  </si>
  <si>
    <t>Brown rice90</t>
  </si>
  <si>
    <t>pork belly80</t>
    <phoneticPr fontId="2" type="noConversion"/>
  </si>
  <si>
    <t>Noodles with black soybean sauce</t>
  </si>
  <si>
    <t>sweet and sour pork</t>
    <phoneticPr fontId="2" type="noConversion"/>
  </si>
  <si>
    <t>pickled radish</t>
  </si>
  <si>
    <t>Sushi</t>
  </si>
  <si>
    <t>miso soup</t>
  </si>
  <si>
    <t>crystallized ginger</t>
  </si>
  <si>
    <t>Shabu-shabu</t>
    <phoneticPr fontId="2" type="noConversion"/>
  </si>
  <si>
    <t>Noodle Soup</t>
    <phoneticPr fontId="2" type="noConversion"/>
  </si>
  <si>
    <t>Korean sausage soup</t>
  </si>
  <si>
    <t>cream soup</t>
  </si>
  <si>
    <t>tenderloin steak</t>
  </si>
  <si>
    <t>Green salad</t>
  </si>
  <si>
    <t>oriental Dressing</t>
  </si>
  <si>
    <t>French fries</t>
    <phoneticPr fontId="2" type="noConversion"/>
  </si>
  <si>
    <t>Ham egg sandwich</t>
  </si>
  <si>
    <t>orange juice</t>
  </si>
  <si>
    <t>Banquet noodles</t>
  </si>
  <si>
    <t>budae-jjigae</t>
    <phoneticPr fontId="2" type="noConversion"/>
  </si>
  <si>
    <t>ramen noodle</t>
  </si>
  <si>
    <t>ramen noodle</t>
    <phoneticPr fontId="2" type="noConversion"/>
  </si>
  <si>
    <t>Corn salad</t>
  </si>
  <si>
    <t>Triangular Kimbap</t>
  </si>
  <si>
    <t>instant cup ramen</t>
    <phoneticPr fontId="2" type="noConversion"/>
  </si>
  <si>
    <t>Chinese fried rice</t>
  </si>
  <si>
    <t>champon stew</t>
  </si>
  <si>
    <t>Gimbap</t>
  </si>
  <si>
    <t>clear broth</t>
    <phoneticPr fontId="2" type="noConversion"/>
  </si>
  <si>
    <t>Fried Chicken</t>
    <phoneticPr fontId="2" type="noConversion"/>
  </si>
  <si>
    <t>pickled radishe(white)</t>
  </si>
  <si>
    <t>Raw fish bibimbap with tuna</t>
  </si>
  <si>
    <t xml:space="preserve">mixed grains </t>
    <phoneticPr fontId="2" type="noConversion"/>
  </si>
  <si>
    <t>rice</t>
  </si>
  <si>
    <t xml:space="preserve">shiitake mushroom </t>
  </si>
  <si>
    <t>scallion</t>
  </si>
  <si>
    <t xml:space="preserve">scallion  </t>
  </si>
  <si>
    <t xml:space="preserve">garlic </t>
  </si>
  <si>
    <t>garlic</t>
    <phoneticPr fontId="2" type="noConversion"/>
  </si>
  <si>
    <t xml:space="preserve">garlic  </t>
  </si>
  <si>
    <t xml:space="preserve">garlic    </t>
  </si>
  <si>
    <t>tofu</t>
  </si>
  <si>
    <t xml:space="preserve">green chilli </t>
  </si>
  <si>
    <t xml:space="preserve">red chilli </t>
  </si>
  <si>
    <t>onion</t>
  </si>
  <si>
    <t>potato</t>
  </si>
  <si>
    <t xml:space="preserve">soybean paste </t>
  </si>
  <si>
    <t>Korean style soy sauce</t>
  </si>
  <si>
    <t>soybean oil</t>
  </si>
  <si>
    <t>seasoned laver</t>
    <phoneticPr fontId="2" type="noConversion"/>
  </si>
  <si>
    <t>laver</t>
  </si>
  <si>
    <t>sesame oil</t>
  </si>
  <si>
    <t>salt</t>
  </si>
  <si>
    <t xml:space="preserve">Canola oil </t>
  </si>
  <si>
    <t>seasoned spinach</t>
    <phoneticPr fontId="2" type="noConversion"/>
  </si>
  <si>
    <t>spinach</t>
  </si>
  <si>
    <t>sesame</t>
  </si>
  <si>
    <t>napa cabbage</t>
  </si>
  <si>
    <t>white radish</t>
  </si>
  <si>
    <t>water parsley</t>
  </si>
  <si>
    <t xml:space="preserve">dolsangat </t>
  </si>
  <si>
    <t>dolsangat</t>
  </si>
  <si>
    <t xml:space="preserve">oyster </t>
  </si>
  <si>
    <t xml:space="preserve">ginger </t>
  </si>
  <si>
    <t>red chili powder</t>
  </si>
  <si>
    <t xml:space="preserve">salted anchovy </t>
  </si>
  <si>
    <t>salted shrimp</t>
  </si>
  <si>
    <t>dried seaweed</t>
  </si>
  <si>
    <t xml:space="preserve">beef </t>
  </si>
  <si>
    <t>baby anchovy</t>
  </si>
  <si>
    <t>soy sauce</t>
  </si>
  <si>
    <t xml:space="preserve">sugar </t>
  </si>
  <si>
    <t>honey</t>
  </si>
  <si>
    <t>eggplant</t>
  </si>
  <si>
    <t>ground sesame mixed with salt</t>
  </si>
  <si>
    <t>young radish</t>
  </si>
  <si>
    <t>a small green onion</t>
  </si>
  <si>
    <t xml:space="preserve">flour </t>
  </si>
  <si>
    <t>brown rice</t>
  </si>
  <si>
    <t xml:space="preserve">red chili paste </t>
  </si>
  <si>
    <t>black rice</t>
  </si>
  <si>
    <t xml:space="preserve">mackerel </t>
  </si>
  <si>
    <t>steep bracken</t>
  </si>
  <si>
    <t>steep bracken</t>
    <phoneticPr fontId="2" type="noConversion"/>
  </si>
  <si>
    <t>seasoned bean sprouts</t>
    <phoneticPr fontId="2" type="noConversion"/>
  </si>
  <si>
    <t>bean sprouts</t>
  </si>
  <si>
    <t xml:space="preserve">pork </t>
    <phoneticPr fontId="2" type="noConversion"/>
  </si>
  <si>
    <t>barley rice</t>
  </si>
  <si>
    <t>barley</t>
  </si>
  <si>
    <t>beef</t>
  </si>
  <si>
    <t>grilled croaker</t>
    <phoneticPr fontId="2" type="noConversion"/>
  </si>
  <si>
    <t>croaker</t>
  </si>
  <si>
    <t>pear juice</t>
  </si>
  <si>
    <t>cucumber</t>
  </si>
  <si>
    <t xml:space="preserve">vinegar </t>
  </si>
  <si>
    <t>chick</t>
  </si>
  <si>
    <t>glutinous rice</t>
  </si>
  <si>
    <t>milk vetch root</t>
  </si>
  <si>
    <t xml:space="preserve">fresh ginseng </t>
  </si>
  <si>
    <t xml:space="preserve">jujube </t>
  </si>
  <si>
    <t>zucchini</t>
  </si>
  <si>
    <t>balloonflower</t>
  </si>
  <si>
    <t>beef</t>
    <phoneticPr fontId="2" type="noConversion"/>
  </si>
  <si>
    <t>beef피</t>
  </si>
  <si>
    <t>white soybean</t>
  </si>
  <si>
    <t>somen noodles</t>
  </si>
  <si>
    <t>tomato</t>
  </si>
  <si>
    <t>instant noodles</t>
    <phoneticPr fontId="2" type="noConversion"/>
  </si>
  <si>
    <t>palm oil</t>
  </si>
  <si>
    <t>milk</t>
    <phoneticPr fontId="2" type="noConversion"/>
  </si>
  <si>
    <t>beef rib</t>
  </si>
  <si>
    <t>carrot</t>
  </si>
  <si>
    <t>chestnut</t>
  </si>
  <si>
    <t>ginkgo nut</t>
  </si>
  <si>
    <t>pine nut</t>
  </si>
  <si>
    <t>tree ear</t>
  </si>
  <si>
    <t>mung-bean sprouts</t>
  </si>
  <si>
    <t>cellophane noodle</t>
  </si>
  <si>
    <t xml:space="preserve">curry powder </t>
  </si>
  <si>
    <t>pork</t>
  </si>
  <si>
    <t>mung-bean sprouts</t>
    <phoneticPr fontId="2" type="noConversion"/>
  </si>
  <si>
    <t>taro stem</t>
    <phoneticPr fontId="2" type="noConversion"/>
  </si>
  <si>
    <t>bracken</t>
  </si>
  <si>
    <t>scallion</t>
    <phoneticPr fontId="2" type="noConversion"/>
  </si>
  <si>
    <t>beef oil</t>
    <phoneticPr fontId="2" type="noConversion"/>
  </si>
  <si>
    <t xml:space="preserve">korea traditional soy sauce </t>
  </si>
  <si>
    <t>red chilli</t>
  </si>
  <si>
    <t>abalone</t>
  </si>
  <si>
    <t>multi-grain rice</t>
  </si>
  <si>
    <t>rice30</t>
  </si>
  <si>
    <t>ginger</t>
    <phoneticPr fontId="2" type="noConversion"/>
  </si>
  <si>
    <t>salt</t>
    <phoneticPr fontId="2" type="noConversion"/>
  </si>
  <si>
    <t>Stir-fried rice cake</t>
    <phoneticPr fontId="2" type="noConversion"/>
  </si>
  <si>
    <t>rice cake</t>
  </si>
  <si>
    <t>fish cake</t>
  </si>
  <si>
    <t>cabbage</t>
  </si>
  <si>
    <t>sugar</t>
    <phoneticPr fontId="2" type="noConversion"/>
  </si>
  <si>
    <t>somen noodles</t>
    <phoneticPr fontId="2" type="noConversion"/>
  </si>
  <si>
    <t xml:space="preserve">starch </t>
  </si>
  <si>
    <t>quail egg</t>
  </si>
  <si>
    <t>zucchini</t>
    <phoneticPr fontId="2" type="noConversion"/>
  </si>
  <si>
    <t>chunjang</t>
  </si>
  <si>
    <t xml:space="preserve">flatfish </t>
  </si>
  <si>
    <t>salmon</t>
  </si>
  <si>
    <t xml:space="preserve">tuna </t>
  </si>
  <si>
    <t>brewed soy sauce</t>
  </si>
  <si>
    <t>miso soup</t>
    <phoneticPr fontId="2" type="noConversion"/>
  </si>
  <si>
    <t>miso</t>
  </si>
  <si>
    <t xml:space="preserve">chopped noodles </t>
    <phoneticPr fontId="2" type="noConversion"/>
  </si>
  <si>
    <t>meat broth</t>
  </si>
  <si>
    <t>red chilli powder</t>
    <phoneticPr fontId="2" type="noConversion"/>
  </si>
  <si>
    <t>beef tripe</t>
    <phoneticPr fontId="2" type="noConversion"/>
  </si>
  <si>
    <t>roll of bread</t>
    <phoneticPr fontId="2" type="noConversion"/>
  </si>
  <si>
    <t>cream soup poder</t>
    <phoneticPr fontId="2" type="noConversion"/>
  </si>
  <si>
    <t>beef</t>
    <phoneticPr fontId="2" type="noConversion"/>
  </si>
  <si>
    <t>broccoli</t>
  </si>
  <si>
    <t>olive oil</t>
  </si>
  <si>
    <t>bread</t>
  </si>
  <si>
    <t>ham</t>
  </si>
  <si>
    <t>ham</t>
    <phoneticPr fontId="2" type="noConversion"/>
  </si>
  <si>
    <t>mayonnaise</t>
  </si>
  <si>
    <t>ketchup</t>
  </si>
  <si>
    <t>franks sausage</t>
    <phoneticPr fontId="2" type="noConversion"/>
  </si>
  <si>
    <t>canned corn</t>
  </si>
  <si>
    <t>raisin</t>
  </si>
  <si>
    <t>palm oil</t>
    <phoneticPr fontId="2" type="noConversion"/>
  </si>
  <si>
    <t>squid</t>
  </si>
  <si>
    <t xml:space="preserve">mussel </t>
  </si>
  <si>
    <t>manila clam</t>
  </si>
  <si>
    <t>chives</t>
  </si>
  <si>
    <t>burdock</t>
  </si>
  <si>
    <t>bell pepper</t>
  </si>
  <si>
    <t>soy sauce</t>
    <phoneticPr fontId="2" type="noConversion"/>
  </si>
  <si>
    <t xml:space="preserve">chicken </t>
  </si>
  <si>
    <t>bread crumbs</t>
  </si>
  <si>
    <t>tuna</t>
  </si>
  <si>
    <t>crown daisy</t>
  </si>
  <si>
    <t>* Korea : national health &amp; nutrition behavior survey(2016) high-frequency menu, Beautiful Korean food 300, Guidelines for using diabetes food exchange unit table, Food composition table(8th)</t>
    <phoneticPr fontId="2" type="noConversion"/>
  </si>
  <si>
    <t>pork</t>
    <phoneticPr fontId="2" type="noConversion"/>
  </si>
  <si>
    <t>sugar</t>
  </si>
  <si>
    <t xml:space="preserve">ginger  </t>
  </si>
  <si>
    <t xml:space="preserve">shrimp </t>
  </si>
  <si>
    <t xml:space="preserve">refined rice wine </t>
  </si>
  <si>
    <t>refined rice wine</t>
  </si>
  <si>
    <t>wonton dough</t>
    <phoneticPr fontId="2" type="noConversion"/>
  </si>
  <si>
    <t>chicken stock</t>
    <phoneticPr fontId="2" type="noConversion"/>
  </si>
  <si>
    <t>chicken</t>
  </si>
  <si>
    <t xml:space="preserve">ginger  </t>
    <phoneticPr fontId="2" type="noConversion"/>
  </si>
  <si>
    <t>cashew nut</t>
    <phoneticPr fontId="2" type="noConversion"/>
  </si>
  <si>
    <t>ginger alcohol</t>
    <phoneticPr fontId="2" type="noConversion"/>
  </si>
  <si>
    <t xml:space="preserve">oyster sauce  </t>
  </si>
  <si>
    <t xml:space="preserve">oyster sauce </t>
  </si>
  <si>
    <t>mirim</t>
  </si>
  <si>
    <t>starch</t>
  </si>
  <si>
    <t>vinegar</t>
  </si>
  <si>
    <t xml:space="preserve">soy sauce </t>
  </si>
  <si>
    <t xml:space="preserve">small green onion </t>
  </si>
  <si>
    <t>bamboo shoot</t>
  </si>
  <si>
    <t>sugar</t>
    <phoneticPr fontId="2" type="noConversion"/>
  </si>
  <si>
    <t>doubanjiang</t>
  </si>
  <si>
    <t>chili</t>
    <phoneticPr fontId="2" type="noConversion"/>
  </si>
  <si>
    <t>chili oil</t>
    <phoneticPr fontId="2" type="noConversion"/>
  </si>
  <si>
    <t>tamato</t>
  </si>
  <si>
    <t>garlic</t>
    <phoneticPr fontId="2" type="noConversion"/>
  </si>
  <si>
    <t>pork belly</t>
    <phoneticPr fontId="2" type="noConversion"/>
  </si>
  <si>
    <t>dry chili</t>
    <phoneticPr fontId="2" type="noConversion"/>
  </si>
  <si>
    <t xml:space="preserve">star anise </t>
  </si>
  <si>
    <t xml:space="preserve">potato </t>
  </si>
  <si>
    <t>cheongyang chilli</t>
    <phoneticPr fontId="2" type="noConversion"/>
  </si>
  <si>
    <t>chinese leek</t>
  </si>
  <si>
    <t>shrimp</t>
    <phoneticPr fontId="2" type="noConversion"/>
  </si>
  <si>
    <t xml:space="preserve">allium tuberosum </t>
    <phoneticPr fontId="2" type="noConversion"/>
  </si>
  <si>
    <t>scallion</t>
    <phoneticPr fontId="2" type="noConversion"/>
  </si>
  <si>
    <t xml:space="preserve">cooking wine  </t>
  </si>
  <si>
    <t>sesame</t>
    <phoneticPr fontId="2" type="noConversion"/>
  </si>
  <si>
    <t>soy sauce</t>
    <phoneticPr fontId="2" type="noConversion"/>
  </si>
  <si>
    <t>Kung Pao chicken</t>
    <phoneticPr fontId="2" type="noConversion"/>
  </si>
  <si>
    <t>Braised eggplant</t>
    <phoneticPr fontId="2" type="noConversion"/>
  </si>
  <si>
    <t>Stir-fried Pork Strips in Fish Sauce)</t>
    <phoneticPr fontId="2" type="noConversion"/>
  </si>
  <si>
    <t>Mapa Tofu</t>
    <phoneticPr fontId="2" type="noConversion"/>
  </si>
  <si>
    <t>Dongpayu(Fried Pork Belly in Soy Sauce)</t>
    <phoneticPr fontId="2" type="noConversion"/>
  </si>
  <si>
    <t>Scrambled eggs with tomatoes</t>
    <phoneticPr fontId="2" type="noConversion"/>
  </si>
  <si>
    <t>Scrambled eggs with chives</t>
    <phoneticPr fontId="2" type="noConversion"/>
  </si>
  <si>
    <t>Fried Shrimp with Hot Pepper Sauce</t>
    <phoneticPr fontId="2" type="noConversion"/>
  </si>
  <si>
    <t>http://kr.people.com.cn/</t>
  </si>
  <si>
    <t>10000 recipe</t>
    <phoneticPr fontId="2" type="noConversion"/>
  </si>
  <si>
    <t xml:space="preserve">Di San Xian(Fried Potato, Green Pepper and Eggplant) </t>
    <phoneticPr fontId="2" type="noConversion"/>
  </si>
  <si>
    <t>Cooking Simple Chinese food at Home</t>
    <phoneticPr fontId="2" type="noConversion"/>
  </si>
  <si>
    <t>Shin Ramen</t>
    <phoneticPr fontId="2" type="noConversion"/>
  </si>
  <si>
    <t>Beautiful Korean food 300</t>
  </si>
  <si>
    <t>Commercially available products</t>
    <phoneticPr fontId="2" type="noConversion"/>
  </si>
  <si>
    <t>Beautiful Korean food 300</t>
    <phoneticPr fontId="2" type="noConversion"/>
  </si>
  <si>
    <t>Beautiful Korean food 100</t>
    <phoneticPr fontId="2" type="noConversion"/>
  </si>
  <si>
    <t>computer aided nutritional analysis system</t>
  </si>
  <si>
    <t>The Korean dietetic association,computer aided nutritional analysis system</t>
  </si>
  <si>
    <t>Commercially available products</t>
    <phoneticPr fontId="2" type="noConversion"/>
  </si>
  <si>
    <t>Barley and roasted tomato risotto</t>
    <phoneticPr fontId="2" type="noConversion"/>
  </si>
  <si>
    <t>Artichokes alla Romana</t>
    <phoneticPr fontId="2" type="noConversion"/>
  </si>
  <si>
    <t>palin yogurt</t>
    <phoneticPr fontId="2" type="noConversion"/>
  </si>
  <si>
    <t>Almond and apricot biscotti</t>
    <phoneticPr fontId="2" type="noConversion"/>
  </si>
  <si>
    <t>Grouper with tomato-olive sauce</t>
    <phoneticPr fontId="2" type="noConversion"/>
  </si>
  <si>
    <t>Bean salad with balsamic vinaigrette</t>
    <phoneticPr fontId="2" type="noConversion"/>
  </si>
  <si>
    <t>Mediterranean-style grilled salmon</t>
    <phoneticPr fontId="2" type="noConversion"/>
  </si>
  <si>
    <t>Beet walnut salad</t>
    <phoneticPr fontId="2" type="noConversion"/>
  </si>
  <si>
    <t>Berries marinated in balsamic vinegar</t>
    <phoneticPr fontId="2" type="noConversion"/>
  </si>
  <si>
    <t>Pasta with spinach, garbanzos and raisins</t>
    <phoneticPr fontId="2" type="noConversion"/>
  </si>
  <si>
    <t>Braised kale with cherry tomatoes</t>
    <phoneticPr fontId="2" type="noConversion"/>
  </si>
  <si>
    <t>Poached pears</t>
    <phoneticPr fontId="2" type="noConversion"/>
  </si>
  <si>
    <t>Tuscan white bean stew</t>
    <phoneticPr fontId="2" type="noConversion"/>
  </si>
  <si>
    <t>Fresh tomato crostini</t>
    <phoneticPr fontId="2" type="noConversion"/>
  </si>
  <si>
    <t>Vegetable and garlic calzone</t>
    <phoneticPr fontId="2" type="noConversion"/>
  </si>
  <si>
    <t>Roasted red pepper with feta salad</t>
    <phoneticPr fontId="2" type="noConversion"/>
  </si>
  <si>
    <t>hard-boiled egg seasoned with a pinch each of salt and pepper</t>
    <phoneticPr fontId="2" type="noConversion"/>
  </si>
  <si>
    <t>Green Salad with Spiced Chickpea Nuts</t>
    <phoneticPr fontId="2" type="noConversion"/>
  </si>
  <si>
    <t>medium fresh fig</t>
    <phoneticPr fontId="2" type="noConversion"/>
  </si>
  <si>
    <t>Chicken Saltimbocca</t>
    <phoneticPr fontId="2" type="noConversion"/>
  </si>
  <si>
    <t>whole-wheat couscous</t>
    <phoneticPr fontId="2" type="noConversion"/>
  </si>
  <si>
    <t>Grilled Polenta &amp; Vegetables with Lemon-Caper Vinaigrette</t>
    <phoneticPr fontId="2" type="noConversion"/>
  </si>
  <si>
    <t>golden raisins</t>
    <phoneticPr fontId="2" type="noConversion"/>
  </si>
  <si>
    <t>hummus for dipping</t>
    <phoneticPr fontId="2" type="noConversion"/>
  </si>
  <si>
    <t>chopped arugula, any tough stems removed</t>
    <phoneticPr fontId="2" type="noConversion"/>
  </si>
  <si>
    <t>bulgur</t>
    <phoneticPr fontId="2" type="noConversion"/>
  </si>
  <si>
    <t>pork tenderloin, trimmed</t>
    <phoneticPr fontId="2" type="noConversion"/>
  </si>
  <si>
    <t>tahini</t>
    <phoneticPr fontId="2" type="noConversion"/>
  </si>
  <si>
    <t>thin slices prosciutto</t>
    <phoneticPr fontId="2" type="noConversion"/>
  </si>
  <si>
    <t>dry Marsala</t>
    <phoneticPr fontId="2" type="noConversion"/>
  </si>
  <si>
    <t>diced pancetta</t>
    <phoneticPr fontId="2" type="noConversion"/>
  </si>
  <si>
    <t>radishes, trimmed</t>
    <phoneticPr fontId="2" type="noConversion"/>
  </si>
  <si>
    <t>mini mozzarella balls, such as mozzarella pearls</t>
    <phoneticPr fontId="2" type="noConversion"/>
  </si>
  <si>
    <t>Fresh puttanesca with brown rice</t>
    <phoneticPr fontId="2" type="noConversion"/>
  </si>
  <si>
    <t>capers, rinsed and drained</t>
    <phoneticPr fontId="2" type="noConversion"/>
  </si>
  <si>
    <t>fresh cilantro</t>
    <phoneticPr fontId="2" type="noConversion"/>
  </si>
  <si>
    <t>Polenta with roasted Mediterranean vegetables</t>
    <phoneticPr fontId="2" type="noConversion"/>
  </si>
  <si>
    <t>coarse polenta (corn grits)</t>
    <phoneticPr fontId="2" type="noConversion"/>
  </si>
  <si>
    <t>Tomato basil bruschetta</t>
    <phoneticPr fontId="2" type="noConversion"/>
  </si>
  <si>
    <t>Gazpacho with chickpeas</t>
    <phoneticPr fontId="2" type="noConversion"/>
  </si>
  <si>
    <t>leek, white only</t>
    <phoneticPr fontId="2" type="noConversion"/>
  </si>
  <si>
    <t>diced yellow summer squash</t>
    <phoneticPr fontId="2" type="noConversion"/>
  </si>
  <si>
    <t>jalapeno chili</t>
    <phoneticPr fontId="2" type="noConversion"/>
  </si>
  <si>
    <t>fresh corn kernels (cut from about 2 ears of corn) or 1 cup frozen corn</t>
    <phoneticPr fontId="2" type="noConversion"/>
  </si>
  <si>
    <t>bok choy</t>
    <phoneticPr fontId="2" type="noConversion"/>
  </si>
  <si>
    <t>chives or cilantro</t>
    <phoneticPr fontId="2" type="noConversion"/>
  </si>
  <si>
    <t>package sauerkraut</t>
    <phoneticPr fontId="2" type="noConversion"/>
  </si>
  <si>
    <t>Home1</t>
    <phoneticPr fontId="2" type="noConversion"/>
  </si>
  <si>
    <t>The guidelines for the use of the Korean Diabetes Food Exchange Table</t>
    <phoneticPr fontId="2" type="noConversion"/>
  </si>
  <si>
    <t>The guidelines for the use of the Korean Diabetes Food Exchange Table</t>
    <phoneticPr fontId="2" type="noConversion"/>
  </si>
  <si>
    <t>wonton</t>
    <phoneticPr fontId="2" type="noConversion"/>
  </si>
  <si>
    <t>http://kr.people.com.cn/</t>
    <phoneticPr fontId="2" type="noConversion"/>
  </si>
  <si>
    <t>*code</t>
    <phoneticPr fontId="16" type="noConversion"/>
  </si>
  <si>
    <t>Ingredient 
score</t>
    <phoneticPr fontId="2" type="noConversion"/>
  </si>
  <si>
    <t>Cooking
modification</t>
    <phoneticPr fontId="2" type="noConversion"/>
  </si>
  <si>
    <t>ACFS
grade</t>
    <phoneticPr fontId="2" type="noConversion"/>
  </si>
  <si>
    <t>Energy
(kcal)</t>
    <phoneticPr fontId="2" type="noConversion"/>
  </si>
  <si>
    <t>Carbo
(%)</t>
    <phoneticPr fontId="2" type="noConversion"/>
  </si>
  <si>
    <t>Lipid
(%)</t>
    <phoneticPr fontId="2" type="noConversion"/>
  </si>
  <si>
    <t>Protein
(%)</t>
    <phoneticPr fontId="2" type="noConversion"/>
  </si>
  <si>
    <t>Carbohydrate
(g)</t>
    <phoneticPr fontId="2" type="noConversion"/>
  </si>
  <si>
    <t>Total
-fat
(g)</t>
    <phoneticPr fontId="2" type="noConversion"/>
  </si>
  <si>
    <t>Fat,
plant
(g)</t>
    <phoneticPr fontId="2" type="noConversion"/>
  </si>
  <si>
    <t>Fat,
animal
(g)</t>
    <phoneticPr fontId="2" type="noConversion"/>
  </si>
  <si>
    <t>Protein
(g)</t>
    <phoneticPr fontId="2" type="noConversion"/>
  </si>
  <si>
    <t>Protein,
plant
(g)</t>
    <phoneticPr fontId="2" type="noConversion"/>
  </si>
  <si>
    <t>Protein,
meat
(g)</t>
    <phoneticPr fontId="2" type="noConversion"/>
  </si>
  <si>
    <t>Fiber
(g)</t>
    <phoneticPr fontId="2" type="noConversion"/>
  </si>
  <si>
    <t>Fiber,
water soluble
(g)</t>
    <phoneticPr fontId="2" type="noConversion"/>
  </si>
  <si>
    <t>Fiber,
non-soluble
(g)</t>
    <phoneticPr fontId="2" type="noConversion"/>
  </si>
  <si>
    <t>Water
(g)</t>
    <phoneticPr fontId="2" type="noConversion"/>
  </si>
  <si>
    <t>Ash
(g)</t>
    <phoneticPr fontId="2" type="noConversion"/>
  </si>
  <si>
    <t>Vitamin A
(ug)</t>
    <phoneticPr fontId="2" type="noConversion"/>
  </si>
  <si>
    <t>Retinol
(ug)</t>
    <phoneticPr fontId="2" type="noConversion"/>
  </si>
  <si>
    <t>Beta
carotene
(ug)</t>
    <phoneticPr fontId="2" type="noConversion"/>
  </si>
  <si>
    <t>Vitamin
D (ug)</t>
    <phoneticPr fontId="2" type="noConversion"/>
  </si>
  <si>
    <t>Vitamin
E (ug)</t>
    <phoneticPr fontId="2" type="noConversion"/>
  </si>
  <si>
    <t>Vitamin
K (ug)</t>
    <phoneticPr fontId="2" type="noConversion"/>
  </si>
  <si>
    <t>Vitamin
C (ug)</t>
    <phoneticPr fontId="2" type="noConversion"/>
  </si>
  <si>
    <t>Thiamine
(ug)</t>
    <phoneticPr fontId="2" type="noConversion"/>
  </si>
  <si>
    <t>Riboflavine
(ug)</t>
    <phoneticPr fontId="2" type="noConversion"/>
  </si>
  <si>
    <t>Niacine
(ug)</t>
    <phoneticPr fontId="2" type="noConversion"/>
  </si>
  <si>
    <t>Vitamine
B6 (ug)</t>
    <phoneticPr fontId="2" type="noConversion"/>
  </si>
  <si>
    <t>Folic acid
(ug)</t>
    <phoneticPr fontId="2" type="noConversion"/>
  </si>
  <si>
    <t>Vitamine
B12
(ug)</t>
    <phoneticPr fontId="2" type="noConversion"/>
  </si>
  <si>
    <t>Pantothenic
acid
(ug)</t>
    <phoneticPr fontId="2" type="noConversion"/>
  </si>
  <si>
    <t>Biotin
(ug)</t>
    <phoneticPr fontId="2" type="noConversion"/>
  </si>
  <si>
    <t>Calcium
(ug)</t>
    <phoneticPr fontId="2" type="noConversion"/>
  </si>
  <si>
    <t>Calcium,
plant
(ug)</t>
    <phoneticPr fontId="2" type="noConversion"/>
  </si>
  <si>
    <t>Calcium,
meat
(ug)</t>
    <phoneticPr fontId="2" type="noConversion"/>
  </si>
  <si>
    <t>Phosphorous
(ug)</t>
    <phoneticPr fontId="2" type="noConversion"/>
  </si>
  <si>
    <t>Sodium
(mg)</t>
    <phoneticPr fontId="2" type="noConversion"/>
  </si>
  <si>
    <t>Chloride
(mg)</t>
    <phoneticPr fontId="2" type="noConversion"/>
  </si>
  <si>
    <t>Potassium
(mg)</t>
    <phoneticPr fontId="2" type="noConversion"/>
  </si>
  <si>
    <t>Magnesium
(mg)</t>
    <phoneticPr fontId="2" type="noConversion"/>
  </si>
  <si>
    <t>Iron
(mg)</t>
    <phoneticPr fontId="2" type="noConversion"/>
  </si>
  <si>
    <t>Iron,
plant
(mg)</t>
    <phoneticPr fontId="2" type="noConversion"/>
  </si>
  <si>
    <t>Iron,
animal
(mg)</t>
    <phoneticPr fontId="2" type="noConversion"/>
  </si>
  <si>
    <t>Zinc
(mg)</t>
    <phoneticPr fontId="2" type="noConversion"/>
  </si>
  <si>
    <t>Copper
(mg)</t>
    <phoneticPr fontId="2" type="noConversion"/>
  </si>
  <si>
    <t>Fluorine
(mg)</t>
    <phoneticPr fontId="2" type="noConversion"/>
  </si>
  <si>
    <t>Manganese
(ug)</t>
    <phoneticPr fontId="2" type="noConversion"/>
  </si>
  <si>
    <t>Iodine
(ug)</t>
    <phoneticPr fontId="2" type="noConversion"/>
  </si>
  <si>
    <t>Selenium
(mg)</t>
    <phoneticPr fontId="2" type="noConversion"/>
  </si>
  <si>
    <t>Cobalt
(ug)</t>
    <phoneticPr fontId="2" type="noConversion"/>
  </si>
  <si>
    <t>Molibden
(ug)</t>
    <phoneticPr fontId="2" type="noConversion"/>
  </si>
  <si>
    <t>Cholesterol
(ug)</t>
    <phoneticPr fontId="2" type="noConversion"/>
  </si>
  <si>
    <t>Multi-grain Rice, bean paste stew, fried egg, seasoned laver, seasoned spinach, kimchi</t>
    <phoneticPr fontId="2" type="noConversion"/>
  </si>
  <si>
    <t>HS</t>
    <phoneticPr fontId="2" type="noConversion"/>
  </si>
  <si>
    <t>B</t>
    <phoneticPr fontId="2" type="noConversion"/>
  </si>
  <si>
    <t>Rice, seaweed soup, stir fried anchovy, braised tofu, seasoned eggplant, young radish kimchi</t>
    <phoneticPr fontId="2" type="noConversion"/>
  </si>
  <si>
    <t>Brown rice90, pork belly80, lettuce, garlic, sesame leaf, green pepper, ssamjang, kimchi</t>
    <phoneticPr fontId="2" type="noConversion"/>
  </si>
  <si>
    <t>Black rice, kimchi stew, grilled mackerel, seasoned bracken, seasoned bean sprouts, young radish kimchi</t>
    <phoneticPr fontId="2" type="noConversion"/>
  </si>
  <si>
    <t>Samgyetang, diced radish kimchi</t>
    <phoneticPr fontId="2" type="noConversion"/>
  </si>
  <si>
    <t>Rice, seaweed soup, braised Short Ribs, japchae, seasoned spinach, seasoned bracken, kimchi</t>
    <phoneticPr fontId="2" type="noConversion"/>
  </si>
  <si>
    <t>Rice, curry, kimchi</t>
    <phoneticPr fontId="2" type="noConversion"/>
  </si>
  <si>
    <t>KE01</t>
    <phoneticPr fontId="16" type="noConversion"/>
  </si>
  <si>
    <t>Noodles with black soybean sauce, sweet and sour pork, pickled radish</t>
    <phoneticPr fontId="2" type="noConversion"/>
  </si>
  <si>
    <t>Shabu-shabu,  Noodle Soup</t>
    <phoneticPr fontId="2" type="noConversion"/>
  </si>
  <si>
    <t>Roll of bread , cream soup, tenderloin steak, French fries, Green salad, oriental Dressing</t>
    <phoneticPr fontId="2" type="noConversion"/>
  </si>
  <si>
    <t>Rice, budae-jjigae, ramen noodle, Corn salad</t>
    <phoneticPr fontId="2" type="noConversion"/>
  </si>
  <si>
    <t>C01</t>
    <phoneticPr fontId="16" type="noConversion"/>
  </si>
  <si>
    <t>D</t>
    <phoneticPr fontId="2" type="noConversion"/>
  </si>
  <si>
    <t>HS,HF</t>
    <phoneticPr fontId="2" type="noConversion"/>
  </si>
  <si>
    <t>C</t>
    <phoneticPr fontId="2" type="noConversion"/>
  </si>
  <si>
    <t>HS</t>
    <phoneticPr fontId="2" type="noConversion"/>
  </si>
  <si>
    <t>A</t>
    <phoneticPr fontId="2" type="noConversion"/>
  </si>
  <si>
    <t>B</t>
    <phoneticPr fontId="2" type="noConversion"/>
  </si>
  <si>
    <t>HF</t>
    <phoneticPr fontId="2" type="noConversion"/>
  </si>
  <si>
    <t>M01</t>
    <phoneticPr fontId="16" type="noConversion"/>
  </si>
  <si>
    <r>
      <t>Mediterranean Tuna Spinach Salad, whole-wheat bread, toasted and drizzled with olive oil, medium fresh fig(</t>
    </r>
    <r>
      <rPr>
        <sz val="8"/>
        <color indexed="8"/>
        <rFont val="맑은 고딕"/>
        <family val="3"/>
        <charset val="129"/>
      </rPr>
      <t>무화과</t>
    </r>
    <r>
      <rPr>
        <sz val="8"/>
        <color indexed="8"/>
        <rFont val="Times New Roman"/>
        <family val="1"/>
      </rPr>
      <t>)</t>
    </r>
  </si>
  <si>
    <t>V01</t>
    <phoneticPr fontId="16" type="noConversion"/>
  </si>
  <si>
    <t>Polenta with roasted Mediterranean vegetables, Braised kale with cherry tomatoes</t>
    <phoneticPr fontId="2" type="noConversion"/>
  </si>
  <si>
    <t>Amish-Style French Toast</t>
    <phoneticPr fontId="2" type="noConversion"/>
  </si>
  <si>
    <t>Simple Bacon Omelet, orange juce, toast</t>
    <phoneticPr fontId="2" type="noConversion"/>
  </si>
  <si>
    <t>Basic Buttermilk Pancakes, bluberry</t>
    <phoneticPr fontId="16" type="noConversion"/>
  </si>
  <si>
    <t xml:space="preserve">Juicy Broiled Burger, Thin and Crispy French Fries </t>
    <phoneticPr fontId="16" type="noConversion"/>
  </si>
  <si>
    <t>Biscuit, Fried Chicken, Honey Butter and Assembly</t>
    <phoneticPr fontId="16" type="noConversion"/>
  </si>
  <si>
    <t>Chicago-style pizza</t>
    <phoneticPr fontId="2" type="noConversion"/>
  </si>
  <si>
    <t>Chocolate Chip Muffins</t>
    <phoneticPr fontId="2" type="noConversion"/>
  </si>
  <si>
    <t>Meat Loaf &amp; Mashed Red Potatoes</t>
    <phoneticPr fontId="2" type="noConversion"/>
  </si>
  <si>
    <t>Blue Cheese-Crusted Sirloin Steaks, Broccoli with Red Pepper</t>
    <phoneticPr fontId="16" type="noConversion"/>
  </si>
  <si>
    <t>Bean &amp; Beef Slow-Cooked Chili</t>
    <phoneticPr fontId="2" type="noConversion"/>
  </si>
  <si>
    <t>Beef &amp; Rice Stuffed Cabbage Rolls</t>
    <phoneticPr fontId="2" type="noConversion"/>
  </si>
  <si>
    <t>Chili-Rubbed Ribs, Cobb Salad</t>
    <phoneticPr fontId="16" type="noConversion"/>
  </si>
  <si>
    <t>Skillet Chicken Fajitas</t>
    <phoneticPr fontId="2" type="noConversion"/>
  </si>
  <si>
    <t>*KH, Korean home-dining; KE, Korean outdining; C, Chinese; M, Mediterrannean; V, vegetarian; W, Western</t>
    <phoneticPr fontId="2" type="noConversion"/>
  </si>
  <si>
    <t>Abbreviations: ACFS, anti-cancer food scroing system; HF, high fat; HS, high salt</t>
    <phoneticPr fontId="2" type="noConversion"/>
  </si>
  <si>
    <t>Sodium, 
seasoning
(mg)</t>
    <phoneticPr fontId="2" type="noConversion"/>
  </si>
  <si>
    <t>C</t>
    <phoneticPr fontId="2" type="noConversion"/>
  </si>
  <si>
    <t>Chicken Cordon Bleu Skillet</t>
    <phoneticPr fontId="2" type="noConversion"/>
  </si>
  <si>
    <t>HF</t>
    <phoneticPr fontId="2" type="noConversion"/>
  </si>
  <si>
    <t>A</t>
    <phoneticPr fontId="2" type="noConversion"/>
  </si>
  <si>
    <t>C</t>
    <phoneticPr fontId="2" type="noConversion"/>
  </si>
  <si>
    <t>HF,HS</t>
    <phoneticPr fontId="2" type="noConversion"/>
  </si>
  <si>
    <t>Triangular Kimbap, instant cup ramen</t>
    <phoneticPr fontId="2" type="noConversion"/>
  </si>
  <si>
    <t>Spaghetti &amp; Meatballs</t>
    <phoneticPr fontId="2" type="noConversion"/>
  </si>
  <si>
    <t>W13</t>
    <phoneticPr fontId="2" type="noConversion"/>
  </si>
  <si>
    <t>W15</t>
    <phoneticPr fontId="2" type="noConversion"/>
  </si>
  <si>
    <t>W17</t>
    <phoneticPr fontId="2" type="noConversion"/>
  </si>
  <si>
    <t>W18</t>
    <phoneticPr fontId="2" type="noConversion"/>
  </si>
  <si>
    <t>W10</t>
    <phoneticPr fontId="2" type="noConversion"/>
  </si>
  <si>
    <t>W11</t>
    <phoneticPr fontId="2" type="noConversion"/>
  </si>
  <si>
    <t>W12</t>
    <phoneticPr fontId="2" type="noConversion"/>
  </si>
  <si>
    <t>W14</t>
    <phoneticPr fontId="2" type="noConversion"/>
  </si>
  <si>
    <t>W16</t>
    <phoneticPr fontId="2" type="noConversion"/>
  </si>
  <si>
    <t>name of recipes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</si>
</sst>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);[Red]\(0\)"/>
    <numFmt numFmtId="178" formatCode="0.0_);[Red]\(0.0\)"/>
    <numFmt numFmtId="179" formatCode="0.00_);[Red]\(0.00\)"/>
  </numFmts>
  <fonts count="28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 tint="0.1499984740745262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2"/>
      <color rgb="FF111111"/>
      <name val="Arial"/>
      <family val="2"/>
    </font>
    <font>
      <sz val="11"/>
      <color rgb="FF2D2D2D"/>
      <name val="맑은 고딕"/>
      <family val="3"/>
      <charset val="129"/>
      <scheme val="minor"/>
    </font>
    <font>
      <sz val="11"/>
      <color rgb="FF111111"/>
      <name val="맑은 고딕"/>
      <family val="3"/>
      <charset val="129"/>
      <scheme val="minor"/>
    </font>
    <font>
      <sz val="11"/>
      <color rgb="FF222222"/>
      <name val="맑은 고딕"/>
      <family val="3"/>
      <charset val="129"/>
      <scheme val="minor"/>
    </font>
    <font>
      <sz val="12"/>
      <color rgb="FF2D2D2D"/>
      <name val="Arial"/>
      <family val="2"/>
    </font>
    <font>
      <sz val="9.35"/>
      <color rgb="FF000000"/>
      <name val="Verdana"/>
      <family val="2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10"/>
      <color rgb="FF000000"/>
      <name val="Gulim"/>
      <family val="3"/>
    </font>
    <font>
      <b/>
      <sz val="8"/>
      <name val="Times New Roman"/>
      <family val="1"/>
    </font>
    <font>
      <b/>
      <sz val="8"/>
      <name val="맑은 고딕"/>
      <family val="3"/>
      <charset val="129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236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179" fontId="5" fillId="2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 wrapText="1"/>
    </xf>
    <xf numFmtId="179" fontId="5" fillId="3" borderId="0" xfId="0" applyNumberFormat="1" applyFont="1" applyFill="1" applyAlignment="1">
      <alignment horizontal="center" vertical="center" wrapText="1"/>
    </xf>
    <xf numFmtId="179" fontId="5" fillId="0" borderId="0" xfId="0" applyNumberFormat="1" applyFont="1" applyAlignment="1">
      <alignment horizontal="center" vertical="center"/>
    </xf>
    <xf numFmtId="179" fontId="5" fillId="2" borderId="0" xfId="0" applyNumberFormat="1" applyFont="1" applyFill="1" applyAlignment="1">
      <alignment horizontal="center" vertical="center"/>
    </xf>
    <xf numFmtId="179" fontId="0" fillId="2" borderId="0" xfId="0" applyNumberFormat="1" applyFill="1" applyAlignment="1">
      <alignment horizontal="center" vertical="center"/>
    </xf>
    <xf numFmtId="179" fontId="0" fillId="3" borderId="0" xfId="0" applyNumberFormat="1" applyFill="1" applyAlignment="1">
      <alignment horizontal="center" vertical="center"/>
    </xf>
    <xf numFmtId="0" fontId="0" fillId="0" borderId="0" xfId="0" applyFont="1" applyFill="1">
      <alignment vertical="center"/>
    </xf>
    <xf numFmtId="179" fontId="6" fillId="2" borderId="0" xfId="0" applyNumberFormat="1" applyFont="1" applyFill="1" applyAlignment="1">
      <alignment horizontal="center" vertical="center"/>
    </xf>
    <xf numFmtId="179" fontId="6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6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9" fontId="6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79" fontId="8" fillId="2" borderId="0" xfId="0" applyNumberFormat="1" applyFont="1" applyFill="1" applyAlignment="1">
      <alignment horizontal="center" vertical="center"/>
    </xf>
    <xf numFmtId="179" fontId="8" fillId="3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9" fontId="0" fillId="2" borderId="0" xfId="0" applyNumberFormat="1" applyFill="1" applyBorder="1" applyAlignment="1">
      <alignment horizontal="center" vertical="center"/>
    </xf>
    <xf numFmtId="179" fontId="0" fillId="3" borderId="0" xfId="0" applyNumberForma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6" fillId="4" borderId="0" xfId="0" applyNumberFormat="1" applyFont="1" applyFill="1" applyAlignment="1">
      <alignment horizontal="center" vertical="center"/>
    </xf>
    <xf numFmtId="178" fontId="5" fillId="4" borderId="0" xfId="0" applyNumberFormat="1" applyFont="1" applyFill="1" applyBorder="1" applyAlignment="1">
      <alignment horizontal="center" vertical="center"/>
    </xf>
    <xf numFmtId="178" fontId="0" fillId="4" borderId="0" xfId="0" applyNumberFormat="1" applyFill="1" applyAlignment="1">
      <alignment horizontal="center" vertical="center"/>
    </xf>
    <xf numFmtId="178" fontId="0" fillId="4" borderId="0" xfId="0" applyNumberFormat="1" applyFont="1" applyFill="1" applyAlignment="1">
      <alignment horizontal="center" vertical="center"/>
    </xf>
    <xf numFmtId="178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78" fontId="6" fillId="4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5" fillId="4" borderId="0" xfId="0" applyNumberFormat="1" applyFont="1" applyFill="1" applyBorder="1" applyAlignment="1">
      <alignment horizontal="center" vertical="center"/>
    </xf>
    <xf numFmtId="179" fontId="6" fillId="4" borderId="0" xfId="0" applyNumberFormat="1" applyFont="1" applyFill="1" applyAlignment="1">
      <alignment horizontal="center" vertical="center"/>
    </xf>
    <xf numFmtId="179" fontId="6" fillId="4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3" borderId="0" xfId="0" applyFont="1" applyFill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2" borderId="1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6" fillId="0" borderId="0" xfId="0" applyNumberFormat="1" applyFont="1" applyBorder="1">
      <alignment vertical="center"/>
    </xf>
    <xf numFmtId="0" fontId="6" fillId="2" borderId="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179" fontId="6" fillId="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179" fontId="5" fillId="6" borderId="0" xfId="0" applyNumberFormat="1" applyFont="1" applyFill="1" applyAlignment="1">
      <alignment horizontal="center" vertical="center"/>
    </xf>
    <xf numFmtId="179" fontId="6" fillId="6" borderId="0" xfId="0" applyNumberFormat="1" applyFont="1" applyFill="1" applyAlignment="1">
      <alignment horizontal="center" vertical="center"/>
    </xf>
    <xf numFmtId="179" fontId="6" fillId="6" borderId="0" xfId="0" applyNumberFormat="1" applyFont="1" applyFill="1" applyBorder="1" applyAlignment="1">
      <alignment horizontal="center" vertical="center"/>
    </xf>
    <xf numFmtId="179" fontId="6" fillId="6" borderId="1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0" fillId="6" borderId="1" xfId="0" applyFill="1" applyBorder="1">
      <alignment vertical="center"/>
    </xf>
    <xf numFmtId="0" fontId="0" fillId="3" borderId="1" xfId="0" applyFill="1" applyBorder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9" fontId="6" fillId="3" borderId="1" xfId="0" applyNumberFormat="1" applyFont="1" applyFill="1" applyBorder="1">
      <alignment vertical="center"/>
    </xf>
    <xf numFmtId="0" fontId="4" fillId="0" borderId="0" xfId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/>
    </xf>
    <xf numFmtId="0" fontId="11" fillId="4" borderId="0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177" fontId="21" fillId="4" borderId="3" xfId="0" applyNumberFormat="1" applyFont="1" applyFill="1" applyBorder="1" applyAlignment="1">
      <alignment horizontal="center" vertical="center" wrapText="1"/>
    </xf>
    <xf numFmtId="178" fontId="21" fillId="4" borderId="3" xfId="0" applyNumberFormat="1" applyFont="1" applyFill="1" applyBorder="1" applyAlignment="1">
      <alignment horizontal="center" vertical="center" wrapText="1"/>
    </xf>
    <xf numFmtId="177" fontId="23" fillId="4" borderId="3" xfId="0" applyNumberFormat="1" applyFont="1" applyFill="1" applyBorder="1" applyAlignment="1">
      <alignment horizontal="center" vertical="center" wrapText="1"/>
    </xf>
    <xf numFmtId="179" fontId="23" fillId="4" borderId="3" xfId="0" applyNumberFormat="1" applyFont="1" applyFill="1" applyBorder="1" applyAlignment="1">
      <alignment horizontal="center" vertical="center" wrapText="1"/>
    </xf>
    <xf numFmtId="178" fontId="23" fillId="4" borderId="3" xfId="0" applyNumberFormat="1" applyFont="1" applyFill="1" applyBorder="1" applyAlignment="1">
      <alignment horizontal="center" vertical="center" wrapText="1"/>
    </xf>
    <xf numFmtId="177" fontId="23" fillId="4" borderId="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77" fontId="25" fillId="0" borderId="6" xfId="2" applyNumberFormat="1" applyFont="1" applyBorder="1">
      <alignment vertical="center"/>
    </xf>
    <xf numFmtId="179" fontId="24" fillId="0" borderId="0" xfId="0" applyNumberFormat="1" applyFont="1">
      <alignment vertical="center"/>
    </xf>
    <xf numFmtId="0" fontId="24" fillId="0" borderId="0" xfId="0" applyFont="1">
      <alignment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177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176" fontId="25" fillId="0" borderId="0" xfId="4" applyNumberFormat="1" applyFont="1">
      <alignment vertical="center"/>
    </xf>
    <xf numFmtId="176" fontId="24" fillId="0" borderId="0" xfId="0" applyNumberFormat="1" applyFont="1">
      <alignment vertical="center"/>
    </xf>
    <xf numFmtId="176" fontId="25" fillId="0" borderId="0" xfId="6" applyNumberFormat="1" applyFont="1">
      <alignment vertical="center"/>
    </xf>
    <xf numFmtId="176" fontId="25" fillId="0" borderId="0" xfId="8" applyNumberFormat="1" applyFont="1">
      <alignment vertical="center"/>
    </xf>
    <xf numFmtId="176" fontId="25" fillId="0" borderId="0" xfId="10" applyNumberFormat="1" applyFont="1">
      <alignment vertical="center"/>
    </xf>
    <xf numFmtId="176" fontId="25" fillId="0" borderId="0" xfId="12" applyNumberFormat="1" applyFont="1">
      <alignment vertical="center"/>
    </xf>
    <xf numFmtId="176" fontId="25" fillId="0" borderId="0" xfId="14" applyNumberFormat="1" applyFont="1">
      <alignment vertical="center"/>
    </xf>
    <xf numFmtId="176" fontId="25" fillId="0" borderId="0" xfId="16" applyNumberFormat="1" applyFont="1">
      <alignment vertical="center"/>
    </xf>
    <xf numFmtId="176" fontId="25" fillId="0" borderId="0" xfId="18" applyNumberFormat="1" applyFont="1">
      <alignment vertical="center"/>
    </xf>
    <xf numFmtId="176" fontId="25" fillId="0" borderId="0" xfId="20" applyNumberFormat="1" applyFont="1">
      <alignment vertical="center"/>
    </xf>
    <xf numFmtId="0" fontId="25" fillId="0" borderId="9" xfId="0" applyFont="1" applyBorder="1" applyAlignment="1">
      <alignment horizontal="left" vertical="center" wrapText="1"/>
    </xf>
    <xf numFmtId="176" fontId="24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177" fontId="24" fillId="0" borderId="0" xfId="0" applyNumberFormat="1" applyFont="1">
      <alignment vertical="center"/>
    </xf>
    <xf numFmtId="178" fontId="24" fillId="0" borderId="0" xfId="0" applyNumberFormat="1" applyFont="1">
      <alignment vertical="center"/>
    </xf>
    <xf numFmtId="177" fontId="27" fillId="0" borderId="9" xfId="0" applyNumberFormat="1" applyFont="1" applyBorder="1">
      <alignment vertical="center"/>
    </xf>
    <xf numFmtId="178" fontId="27" fillId="0" borderId="9" xfId="0" applyNumberFormat="1" applyFont="1" applyBorder="1">
      <alignment vertical="center"/>
    </xf>
    <xf numFmtId="179" fontId="27" fillId="0" borderId="9" xfId="0" applyNumberFormat="1" applyFont="1" applyBorder="1">
      <alignment vertical="center"/>
    </xf>
    <xf numFmtId="177" fontId="27" fillId="0" borderId="10" xfId="0" applyNumberFormat="1" applyFont="1" applyBorder="1">
      <alignment vertical="center"/>
    </xf>
    <xf numFmtId="177" fontId="27" fillId="0" borderId="6" xfId="0" applyNumberFormat="1" applyFont="1" applyBorder="1">
      <alignment vertical="center"/>
    </xf>
    <xf numFmtId="178" fontId="27" fillId="0" borderId="6" xfId="0" applyNumberFormat="1" applyFont="1" applyBorder="1">
      <alignment vertical="center"/>
    </xf>
    <xf numFmtId="179" fontId="27" fillId="0" borderId="6" xfId="0" applyNumberFormat="1" applyFont="1" applyBorder="1">
      <alignment vertical="center"/>
    </xf>
    <xf numFmtId="177" fontId="27" fillId="0" borderId="7" xfId="0" applyNumberFormat="1" applyFont="1" applyBorder="1">
      <alignment vertical="center"/>
    </xf>
    <xf numFmtId="177" fontId="23" fillId="10" borderId="3" xfId="0" applyNumberFormat="1" applyFont="1" applyFill="1" applyBorder="1" applyAlignment="1">
      <alignment horizontal="center" vertical="center" wrapText="1"/>
    </xf>
    <xf numFmtId="177" fontId="27" fillId="10" borderId="6" xfId="0" applyNumberFormat="1" applyFont="1" applyFill="1" applyBorder="1">
      <alignment vertical="center"/>
    </xf>
    <xf numFmtId="177" fontId="27" fillId="10" borderId="9" xfId="0" applyNumberFormat="1" applyFont="1" applyFill="1" applyBorder="1">
      <alignment vertical="center"/>
    </xf>
    <xf numFmtId="177" fontId="24" fillId="10" borderId="0" xfId="0" applyNumberFormat="1" applyFont="1" applyFill="1">
      <alignment vertical="center"/>
    </xf>
    <xf numFmtId="0" fontId="24" fillId="0" borderId="8" xfId="0" applyFont="1" applyFill="1" applyBorder="1" applyAlignment="1">
      <alignment horizontal="center" vertical="center"/>
    </xf>
    <xf numFmtId="177" fontId="24" fillId="0" borderId="0" xfId="0" applyNumberFormat="1" applyFont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177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177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 wrapText="1"/>
    </xf>
    <xf numFmtId="176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177" fontId="27" fillId="0" borderId="9" xfId="0" applyNumberFormat="1" applyFont="1" applyFill="1" applyBorder="1">
      <alignment vertical="center"/>
    </xf>
    <xf numFmtId="177" fontId="25" fillId="0" borderId="6" xfId="2" applyNumberFormat="1" applyFont="1" applyFill="1" applyBorder="1">
      <alignment vertical="center"/>
    </xf>
    <xf numFmtId="177" fontId="27" fillId="0" borderId="6" xfId="0" applyNumberFormat="1" applyFont="1" applyFill="1" applyBorder="1">
      <alignment vertical="center"/>
    </xf>
    <xf numFmtId="0" fontId="22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90">
    <cellStyle name="표준" xfId="0" builtinId="0"/>
    <cellStyle name="표준 10" xfId="20"/>
    <cellStyle name="표준 11" xfId="80"/>
    <cellStyle name="표준 12" xfId="81"/>
    <cellStyle name="표준 13" xfId="82"/>
    <cellStyle name="표준 14" xfId="83"/>
    <cellStyle name="표준 15" xfId="84"/>
    <cellStyle name="표준 16" xfId="85"/>
    <cellStyle name="표준 17" xfId="86"/>
    <cellStyle name="표준 18" xfId="87"/>
    <cellStyle name="표준 19" xfId="88"/>
    <cellStyle name="표준 2" xfId="4"/>
    <cellStyle name="표준 20" xfId="89"/>
    <cellStyle name="표준 21" xfId="41"/>
    <cellStyle name="표준 22" xfId="42"/>
    <cellStyle name="표준 23" xfId="43"/>
    <cellStyle name="표준 24" xfId="44"/>
    <cellStyle name="표준 25" xfId="45"/>
    <cellStyle name="표준 26" xfId="46"/>
    <cellStyle name="표준 27" xfId="47"/>
    <cellStyle name="표준 28" xfId="48"/>
    <cellStyle name="표준 29" xfId="49"/>
    <cellStyle name="표준 3" xfId="6"/>
    <cellStyle name="표준 30" xfId="70"/>
    <cellStyle name="표준 32" xfId="72"/>
    <cellStyle name="표준 33" xfId="73"/>
    <cellStyle name="표준 34" xfId="74"/>
    <cellStyle name="표준 35" xfId="75"/>
    <cellStyle name="표준 36" xfId="76"/>
    <cellStyle name="표준 37" xfId="77"/>
    <cellStyle name="표준 38" xfId="78"/>
    <cellStyle name="표준 39" xfId="79"/>
    <cellStyle name="표준 4" xfId="8"/>
    <cellStyle name="표준 40" xfId="71"/>
    <cellStyle name="표준 41" xfId="50"/>
    <cellStyle name="표준 42" xfId="51"/>
    <cellStyle name="표준 43" xfId="52"/>
    <cellStyle name="표준 44" xfId="53"/>
    <cellStyle name="표준 45" xfId="54"/>
    <cellStyle name="표준 46" xfId="55"/>
    <cellStyle name="표준 47" xfId="56"/>
    <cellStyle name="표준 48" xfId="57"/>
    <cellStyle name="표준 49" xfId="58"/>
    <cellStyle name="표준 5" xfId="10"/>
    <cellStyle name="표준 50" xfId="59"/>
    <cellStyle name="표준 51" xfId="60"/>
    <cellStyle name="표준 52" xfId="61"/>
    <cellStyle name="표준 53" xfId="62"/>
    <cellStyle name="표준 54" xfId="63"/>
    <cellStyle name="표준 55" xfId="64"/>
    <cellStyle name="표준 56" xfId="65"/>
    <cellStyle name="표준 57" xfId="66"/>
    <cellStyle name="표준 58" xfId="67"/>
    <cellStyle name="표준 59" xfId="68"/>
    <cellStyle name="표준 6" xfId="12"/>
    <cellStyle name="표준 60" xfId="69"/>
    <cellStyle name="표준 61" xfId="2"/>
    <cellStyle name="표준 62" xfId="3"/>
    <cellStyle name="표준 63" xfId="5"/>
    <cellStyle name="표준 64" xfId="7"/>
    <cellStyle name="표준 65" xfId="9"/>
    <cellStyle name="표준 66" xfId="11"/>
    <cellStyle name="표준 67" xfId="13"/>
    <cellStyle name="표준 68" xfId="15"/>
    <cellStyle name="표준 69" xfId="17"/>
    <cellStyle name="표준 7" xfId="14"/>
    <cellStyle name="표준 70" xfId="19"/>
    <cellStyle name="표준 71" xfId="21"/>
    <cellStyle name="표준 72" xfId="22"/>
    <cellStyle name="표준 73" xfId="23"/>
    <cellStyle name="표준 74" xfId="24"/>
    <cellStyle name="표준 75" xfId="25"/>
    <cellStyle name="표준 76" xfId="26"/>
    <cellStyle name="표준 77" xfId="27"/>
    <cellStyle name="표준 78" xfId="28"/>
    <cellStyle name="표준 79" xfId="29"/>
    <cellStyle name="표준 8" xfId="16"/>
    <cellStyle name="표준 80" xfId="30"/>
    <cellStyle name="표준 81" xfId="31"/>
    <cellStyle name="표준 82" xfId="32"/>
    <cellStyle name="표준 83" xfId="33"/>
    <cellStyle name="표준 84" xfId="34"/>
    <cellStyle name="표준 85" xfId="35"/>
    <cellStyle name="표준 86" xfId="36"/>
    <cellStyle name="표준 87" xfId="37"/>
    <cellStyle name="표준 88" xfId="38"/>
    <cellStyle name="표준 89" xfId="39"/>
    <cellStyle name="표준 9" xfId="18"/>
    <cellStyle name="표준 90" xfId="4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kr.people.com.c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ealthline.com/nutrition/9-benefits-of-whole-grain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4"/>
  <sheetViews>
    <sheetView tabSelected="1" zoomScaleNormal="100" workbookViewId="0">
      <pane xSplit="5" ySplit="1" topLeftCell="AH65" activePane="bottomRight" state="frozen"/>
      <selection pane="topRight" activeCell="F1" sqref="F1"/>
      <selection pane="bottomLeft" activeCell="A2" sqref="A2"/>
      <selection pane="bottomRight" activeCell="AI96" sqref="AI96"/>
    </sheetView>
  </sheetViews>
  <sheetFormatPr defaultColWidth="13" defaultRowHeight="11.25"/>
  <cols>
    <col min="1" max="1" width="5.375" style="203" customWidth="1"/>
    <col min="2" max="2" width="35.125" style="202" bestFit="1" customWidth="1"/>
    <col min="3" max="3" width="7.625" style="219" customWidth="1"/>
    <col min="4" max="4" width="8.875" style="203" bestFit="1" customWidth="1"/>
    <col min="5" max="5" width="7.25" style="203" customWidth="1"/>
    <col min="6" max="7" width="5.25" style="204" customWidth="1"/>
    <col min="8" max="8" width="4.125" style="204" customWidth="1"/>
    <col min="9" max="9" width="5.5" style="204" customWidth="1"/>
    <col min="10" max="10" width="9.75" style="204" customWidth="1"/>
    <col min="11" max="11" width="4.25" style="204" customWidth="1"/>
    <col min="12" max="12" width="4.875" style="204" customWidth="1"/>
    <col min="13" max="13" width="5.625" style="204" customWidth="1"/>
    <col min="14" max="14" width="5.5" style="204" customWidth="1"/>
    <col min="15" max="16" width="6.375" style="204" customWidth="1"/>
    <col min="17" max="17" width="4.25" style="204" customWidth="1"/>
    <col min="18" max="18" width="10.25" style="205" customWidth="1"/>
    <col min="19" max="19" width="9.25" style="205" customWidth="1"/>
    <col min="20" max="20" width="5" style="204" customWidth="1"/>
    <col min="21" max="21" width="4" style="204" customWidth="1"/>
    <col min="22" max="22" width="6.875" style="204" customWidth="1"/>
    <col min="23" max="23" width="5.875" style="204" customWidth="1"/>
    <col min="24" max="24" width="7.125" style="204" customWidth="1"/>
    <col min="25" max="25" width="6" style="182" customWidth="1"/>
    <col min="26" max="28" width="6" style="204" customWidth="1"/>
    <col min="29" max="29" width="7" style="182" customWidth="1"/>
    <col min="30" max="30" width="8.25" style="205" customWidth="1"/>
    <col min="31" max="31" width="5.75" style="205" customWidth="1"/>
    <col min="32" max="32" width="6.875" style="205" customWidth="1"/>
    <col min="33" max="33" width="4.625" style="204" customWidth="1"/>
    <col min="34" max="34" width="6.875" style="205" customWidth="1"/>
    <col min="35" max="35" width="9.375" style="205" customWidth="1"/>
    <col min="36" max="36" width="4.75" style="182" customWidth="1"/>
    <col min="37" max="39" width="5.875" style="204" customWidth="1"/>
    <col min="40" max="40" width="9.25" style="204" customWidth="1"/>
    <col min="41" max="41" width="6.5" style="204" customWidth="1"/>
    <col min="42" max="42" width="6.625" style="205" customWidth="1"/>
    <col min="43" max="43" width="8.25" style="204" customWidth="1"/>
    <col min="44" max="44" width="9.125" style="204" customWidth="1"/>
    <col min="45" max="45" width="4.5" style="205" customWidth="1"/>
    <col min="46" max="46" width="4.875" style="205" customWidth="1"/>
    <col min="47" max="47" width="5.625" style="205" customWidth="1"/>
    <col min="48" max="48" width="4.5" style="205" customWidth="1"/>
    <col min="49" max="49" width="6.25" style="204" customWidth="1"/>
    <col min="50" max="50" width="6.375" style="182" customWidth="1"/>
    <col min="51" max="51" width="8.875" style="182" customWidth="1"/>
    <col min="52" max="52" width="5.625" style="205" customWidth="1"/>
    <col min="53" max="53" width="6.625" style="205" customWidth="1"/>
    <col min="54" max="54" width="5.375" style="182" customWidth="1"/>
    <col min="55" max="55" width="7.625" style="182" customWidth="1"/>
    <col min="56" max="56" width="8.75" style="204" customWidth="1"/>
    <col min="57" max="57" width="7.5" style="217" customWidth="1"/>
    <col min="58" max="16384" width="13" style="183"/>
  </cols>
  <sheetData>
    <row r="1" spans="1:60" s="180" customFormat="1" ht="42.75" thickBot="1">
      <c r="A1" s="172" t="s">
        <v>1369</v>
      </c>
      <c r="B1" s="234" t="s">
        <v>1483</v>
      </c>
      <c r="C1" s="176" t="s">
        <v>1370</v>
      </c>
      <c r="D1" s="173" t="s">
        <v>1371</v>
      </c>
      <c r="E1" s="173" t="s">
        <v>1372</v>
      </c>
      <c r="F1" s="174" t="s">
        <v>1373</v>
      </c>
      <c r="G1" s="174" t="s">
        <v>1374</v>
      </c>
      <c r="H1" s="174" t="s">
        <v>1375</v>
      </c>
      <c r="I1" s="174" t="s">
        <v>1376</v>
      </c>
      <c r="J1" s="174" t="s">
        <v>1377</v>
      </c>
      <c r="K1" s="174" t="s">
        <v>1378</v>
      </c>
      <c r="L1" s="174" t="s">
        <v>1379</v>
      </c>
      <c r="M1" s="174" t="s">
        <v>1380</v>
      </c>
      <c r="N1" s="174" t="s">
        <v>1381</v>
      </c>
      <c r="O1" s="174" t="s">
        <v>1382</v>
      </c>
      <c r="P1" s="174" t="s">
        <v>1383</v>
      </c>
      <c r="Q1" s="174" t="s">
        <v>1384</v>
      </c>
      <c r="R1" s="175" t="s">
        <v>1385</v>
      </c>
      <c r="S1" s="175" t="s">
        <v>1386</v>
      </c>
      <c r="T1" s="174" t="s">
        <v>1387</v>
      </c>
      <c r="U1" s="174" t="s">
        <v>1388</v>
      </c>
      <c r="V1" s="174" t="s">
        <v>1389</v>
      </c>
      <c r="W1" s="174" t="s">
        <v>1390</v>
      </c>
      <c r="X1" s="176" t="s">
        <v>1391</v>
      </c>
      <c r="Y1" s="177" t="s">
        <v>1392</v>
      </c>
      <c r="Z1" s="176" t="s">
        <v>1393</v>
      </c>
      <c r="AA1" s="176" t="s">
        <v>1394</v>
      </c>
      <c r="AB1" s="176" t="s">
        <v>1395</v>
      </c>
      <c r="AC1" s="177" t="s">
        <v>1396</v>
      </c>
      <c r="AD1" s="178" t="s">
        <v>1397</v>
      </c>
      <c r="AE1" s="178" t="s">
        <v>1398</v>
      </c>
      <c r="AF1" s="178" t="s">
        <v>1399</v>
      </c>
      <c r="AG1" s="176" t="s">
        <v>1400</v>
      </c>
      <c r="AH1" s="178" t="s">
        <v>1401</v>
      </c>
      <c r="AI1" s="178" t="s">
        <v>1402</v>
      </c>
      <c r="AJ1" s="177" t="s">
        <v>1403</v>
      </c>
      <c r="AK1" s="176" t="s">
        <v>1404</v>
      </c>
      <c r="AL1" s="176" t="s">
        <v>1405</v>
      </c>
      <c r="AM1" s="176" t="s">
        <v>1406</v>
      </c>
      <c r="AN1" s="176" t="s">
        <v>1407</v>
      </c>
      <c r="AO1" s="176" t="s">
        <v>1408</v>
      </c>
      <c r="AP1" s="178" t="s">
        <v>1409</v>
      </c>
      <c r="AQ1" s="176" t="s">
        <v>1410</v>
      </c>
      <c r="AR1" s="176" t="s">
        <v>1411</v>
      </c>
      <c r="AS1" s="178" t="s">
        <v>1412</v>
      </c>
      <c r="AT1" s="178" t="s">
        <v>1413</v>
      </c>
      <c r="AU1" s="178" t="s">
        <v>1414</v>
      </c>
      <c r="AV1" s="175" t="s">
        <v>1415</v>
      </c>
      <c r="AW1" s="176" t="s">
        <v>1416</v>
      </c>
      <c r="AX1" s="177" t="s">
        <v>1417</v>
      </c>
      <c r="AY1" s="177" t="s">
        <v>1418</v>
      </c>
      <c r="AZ1" s="178" t="s">
        <v>1419</v>
      </c>
      <c r="BA1" s="178" t="s">
        <v>1420</v>
      </c>
      <c r="BB1" s="177" t="s">
        <v>1421</v>
      </c>
      <c r="BC1" s="177" t="s">
        <v>1422</v>
      </c>
      <c r="BD1" s="179" t="s">
        <v>1423</v>
      </c>
      <c r="BE1" s="214" t="s">
        <v>1465</v>
      </c>
    </row>
    <row r="2" spans="1:60" ht="23.25" thickTop="1">
      <c r="A2" s="184" t="s">
        <v>910</v>
      </c>
      <c r="B2" s="185" t="s">
        <v>1424</v>
      </c>
      <c r="C2" s="186">
        <v>366</v>
      </c>
      <c r="D2" s="187" t="s">
        <v>1425</v>
      </c>
      <c r="E2" s="187" t="s">
        <v>1426</v>
      </c>
      <c r="F2" s="206">
        <v>656.30499999999995</v>
      </c>
      <c r="G2" s="181">
        <v>54.696642495055805</v>
      </c>
      <c r="H2" s="181">
        <v>29.058216453365461</v>
      </c>
      <c r="I2" s="181">
        <v>16.245141051578731</v>
      </c>
      <c r="J2" s="206">
        <v>90.230999999999995</v>
      </c>
      <c r="K2" s="206">
        <v>21.305</v>
      </c>
      <c r="L2" s="206">
        <v>17.105</v>
      </c>
      <c r="M2" s="206">
        <v>4.2</v>
      </c>
      <c r="N2" s="206">
        <v>26.798999999999999</v>
      </c>
      <c r="O2" s="206">
        <v>20.516999999999999</v>
      </c>
      <c r="P2" s="206">
        <v>6.2830000000000004</v>
      </c>
      <c r="Q2" s="206">
        <v>14.064</v>
      </c>
      <c r="R2" s="207">
        <v>1.7909999999999999</v>
      </c>
      <c r="S2" s="207">
        <v>9.7420000000000009</v>
      </c>
      <c r="T2" s="206">
        <v>351.01900000000001</v>
      </c>
      <c r="U2" s="206">
        <v>10.268000000000001</v>
      </c>
      <c r="V2" s="206">
        <v>401.01299999999998</v>
      </c>
      <c r="W2" s="206">
        <v>43.896000000000001</v>
      </c>
      <c r="X2" s="206">
        <v>4285.3990000000003</v>
      </c>
      <c r="Y2" s="208">
        <v>0.98</v>
      </c>
      <c r="Z2" s="206">
        <v>13.755000000000001</v>
      </c>
      <c r="AA2" s="206">
        <v>611.76599999999996</v>
      </c>
      <c r="AB2" s="206">
        <v>91.468999999999994</v>
      </c>
      <c r="AC2" s="208">
        <v>0.755</v>
      </c>
      <c r="AD2" s="207">
        <v>0.98599999999999999</v>
      </c>
      <c r="AE2" s="207">
        <v>4.6879999999999997</v>
      </c>
      <c r="AF2" s="207">
        <v>0.55400000000000005</v>
      </c>
      <c r="AG2" s="206">
        <v>598.32600000000002</v>
      </c>
      <c r="AH2" s="207">
        <v>2.8820000000000001</v>
      </c>
      <c r="AI2" s="207">
        <v>1.891</v>
      </c>
      <c r="AJ2" s="208">
        <v>0.03</v>
      </c>
      <c r="AK2" s="206">
        <v>202.41499999999999</v>
      </c>
      <c r="AL2" s="206">
        <v>162.92599999999999</v>
      </c>
      <c r="AM2" s="206">
        <v>39.488999999999997</v>
      </c>
      <c r="AN2" s="206">
        <v>464.97500000000002</v>
      </c>
      <c r="AO2" s="206">
        <v>2257.2109999999998</v>
      </c>
      <c r="AP2" s="207">
        <v>16.591999999999999</v>
      </c>
      <c r="AQ2" s="206">
        <v>1509.4179999999999</v>
      </c>
      <c r="AR2" s="206">
        <v>91.941999999999993</v>
      </c>
      <c r="AS2" s="207">
        <v>8.8160000000000007</v>
      </c>
      <c r="AT2" s="207">
        <v>7.7629999999999999</v>
      </c>
      <c r="AU2" s="207">
        <v>1.0529999999999999</v>
      </c>
      <c r="AV2" s="207">
        <v>4.4660000000000002</v>
      </c>
      <c r="AW2" s="206">
        <v>346.13900000000001</v>
      </c>
      <c r="AX2" s="208">
        <v>1E-3</v>
      </c>
      <c r="AY2" s="208">
        <v>1.2709999999999999</v>
      </c>
      <c r="AZ2" s="207">
        <v>15.071</v>
      </c>
      <c r="BA2" s="207">
        <v>19.173999999999999</v>
      </c>
      <c r="BB2" s="208">
        <v>0</v>
      </c>
      <c r="BC2" s="208">
        <v>0.54300000000000004</v>
      </c>
      <c r="BD2" s="209">
        <v>205.846</v>
      </c>
      <c r="BE2" s="216">
        <v>2002.1189999999999</v>
      </c>
    </row>
    <row r="3" spans="1:60" ht="22.5">
      <c r="A3" s="184" t="s">
        <v>911</v>
      </c>
      <c r="B3" s="185" t="s">
        <v>1427</v>
      </c>
      <c r="C3" s="186">
        <v>338.52991181565062</v>
      </c>
      <c r="D3" s="187" t="s">
        <v>52</v>
      </c>
      <c r="E3" s="187" t="s">
        <v>53</v>
      </c>
      <c r="F3" s="206">
        <v>609.49099999999999</v>
      </c>
      <c r="G3" s="181">
        <v>58.131851703387071</v>
      </c>
      <c r="H3" s="181">
        <v>25.140011729935484</v>
      </c>
      <c r="I3" s="181">
        <v>16.728136566677456</v>
      </c>
      <c r="J3" s="206">
        <v>88.462000000000003</v>
      </c>
      <c r="K3" s="206">
        <v>17.003</v>
      </c>
      <c r="L3" s="206">
        <v>15.3</v>
      </c>
      <c r="M3" s="206">
        <v>1.7030000000000001</v>
      </c>
      <c r="N3" s="206">
        <v>25.456</v>
      </c>
      <c r="O3" s="206">
        <v>16.550999999999998</v>
      </c>
      <c r="P3" s="206">
        <v>8.9049999999999994</v>
      </c>
      <c r="Q3" s="206">
        <v>14.471</v>
      </c>
      <c r="R3" s="207">
        <v>4.0449999999999999</v>
      </c>
      <c r="S3" s="207">
        <v>11</v>
      </c>
      <c r="T3" s="206">
        <v>277.74299999999999</v>
      </c>
      <c r="U3" s="206">
        <v>13.372999999999999</v>
      </c>
      <c r="V3" s="206">
        <v>149.62200000000001</v>
      </c>
      <c r="W3" s="206">
        <v>3</v>
      </c>
      <c r="X3" s="206">
        <v>1759.46</v>
      </c>
      <c r="Y3" s="208">
        <v>0</v>
      </c>
      <c r="Z3" s="206">
        <v>8.7750000000000004</v>
      </c>
      <c r="AA3" s="206">
        <v>47.307000000000002</v>
      </c>
      <c r="AB3" s="206">
        <v>32.661999999999999</v>
      </c>
      <c r="AC3" s="208">
        <v>0.57599999999999996</v>
      </c>
      <c r="AD3" s="207">
        <v>0.32600000000000001</v>
      </c>
      <c r="AE3" s="207">
        <v>3.6739999999999999</v>
      </c>
      <c r="AF3" s="207">
        <v>0.48399999999999999</v>
      </c>
      <c r="AG3" s="206">
        <v>150.85499999999999</v>
      </c>
      <c r="AH3" s="207">
        <v>4.4770000000000003</v>
      </c>
      <c r="AI3" s="207">
        <v>1.5489999999999999</v>
      </c>
      <c r="AJ3" s="208">
        <v>0</v>
      </c>
      <c r="AK3" s="206">
        <v>312.53800000000001</v>
      </c>
      <c r="AL3" s="206">
        <v>231.86099999999999</v>
      </c>
      <c r="AM3" s="206">
        <v>80.677000000000007</v>
      </c>
      <c r="AN3" s="206">
        <v>412.28800000000001</v>
      </c>
      <c r="AO3" s="206">
        <v>3271.3090000000002</v>
      </c>
      <c r="AP3" s="207">
        <v>32.311999999999998</v>
      </c>
      <c r="AQ3" s="206">
        <v>1600.9780000000001</v>
      </c>
      <c r="AR3" s="206">
        <v>61.985999999999997</v>
      </c>
      <c r="AS3" s="207">
        <v>6.9260000000000002</v>
      </c>
      <c r="AT3" s="207">
        <v>5.8949999999999996</v>
      </c>
      <c r="AU3" s="207">
        <v>1.032</v>
      </c>
      <c r="AV3" s="207">
        <v>4.1719999999999997</v>
      </c>
      <c r="AW3" s="206">
        <v>90.489000000000004</v>
      </c>
      <c r="AX3" s="208">
        <v>0</v>
      </c>
      <c r="AY3" s="208">
        <v>0.64600000000000002</v>
      </c>
      <c r="AZ3" s="207">
        <v>580</v>
      </c>
      <c r="BA3" s="207">
        <v>12.629</v>
      </c>
      <c r="BB3" s="208">
        <v>0</v>
      </c>
      <c r="BC3" s="208">
        <v>0.08</v>
      </c>
      <c r="BD3" s="209">
        <v>27.774999999999999</v>
      </c>
      <c r="BE3" s="216">
        <v>2831.4070000000002</v>
      </c>
      <c r="BF3" s="188"/>
      <c r="BG3" s="188"/>
      <c r="BH3" s="189"/>
    </row>
    <row r="4" spans="1:60" ht="22.5">
      <c r="A4" s="184" t="s">
        <v>912</v>
      </c>
      <c r="B4" s="185" t="s">
        <v>1428</v>
      </c>
      <c r="C4" s="186">
        <v>334.51356340115814</v>
      </c>
      <c r="D4" s="187" t="s">
        <v>52</v>
      </c>
      <c r="E4" s="187" t="s">
        <v>53</v>
      </c>
      <c r="F4" s="206">
        <v>817.69799999999998</v>
      </c>
      <c r="G4" s="181">
        <v>43.844279263147783</v>
      </c>
      <c r="H4" s="181">
        <v>41.966212009098982</v>
      </c>
      <c r="I4" s="181">
        <v>14.189508727753244</v>
      </c>
      <c r="J4" s="206">
        <v>87.843000000000004</v>
      </c>
      <c r="K4" s="206">
        <v>37.369</v>
      </c>
      <c r="L4" s="206">
        <v>4.4390000000000001</v>
      </c>
      <c r="M4" s="206">
        <v>32.93</v>
      </c>
      <c r="N4" s="206">
        <v>28.428999999999998</v>
      </c>
      <c r="O4" s="206">
        <v>10.326000000000001</v>
      </c>
      <c r="P4" s="206">
        <v>18.103000000000002</v>
      </c>
      <c r="Q4" s="206">
        <v>7.04</v>
      </c>
      <c r="R4" s="207">
        <v>0.108</v>
      </c>
      <c r="S4" s="207">
        <v>2.1219999999999999</v>
      </c>
      <c r="T4" s="206">
        <v>206.30600000000001</v>
      </c>
      <c r="U4" s="206">
        <v>5.7329999999999997</v>
      </c>
      <c r="V4" s="206">
        <v>217.33099999999999</v>
      </c>
      <c r="W4" s="206">
        <v>20.396000000000001</v>
      </c>
      <c r="X4" s="206">
        <v>2363.2179999999998</v>
      </c>
      <c r="Y4" s="208">
        <v>0</v>
      </c>
      <c r="Z4" s="206">
        <v>4.05</v>
      </c>
      <c r="AA4" s="206">
        <v>183.072</v>
      </c>
      <c r="AB4" s="206">
        <v>35.737000000000002</v>
      </c>
      <c r="AC4" s="208">
        <v>1.25</v>
      </c>
      <c r="AD4" s="207">
        <v>0.497</v>
      </c>
      <c r="AE4" s="207">
        <v>4.327</v>
      </c>
      <c r="AF4" s="207">
        <v>0.90300000000000002</v>
      </c>
      <c r="AG4" s="206">
        <v>217.595</v>
      </c>
      <c r="AH4" s="207">
        <v>1.0960000000000001</v>
      </c>
      <c r="AI4" s="207">
        <v>1.28</v>
      </c>
      <c r="AJ4" s="208">
        <v>0.66500000000000004</v>
      </c>
      <c r="AK4" s="206">
        <v>115.872</v>
      </c>
      <c r="AL4" s="206">
        <v>97.582999999999998</v>
      </c>
      <c r="AM4" s="206">
        <v>18.289000000000001</v>
      </c>
      <c r="AN4" s="206">
        <v>407.04899999999998</v>
      </c>
      <c r="AO4" s="206">
        <v>948.01900000000001</v>
      </c>
      <c r="AP4" s="207">
        <v>26.085000000000001</v>
      </c>
      <c r="AQ4" s="206">
        <v>1061.2070000000001</v>
      </c>
      <c r="AR4" s="206">
        <v>18.533999999999999</v>
      </c>
      <c r="AS4" s="207">
        <v>3.2879999999999998</v>
      </c>
      <c r="AT4" s="207">
        <v>3.085</v>
      </c>
      <c r="AU4" s="207">
        <v>0.20399999999999999</v>
      </c>
      <c r="AV4" s="207">
        <v>4.4740000000000002</v>
      </c>
      <c r="AW4" s="206">
        <v>205.845</v>
      </c>
      <c r="AX4" s="208">
        <v>2E-3</v>
      </c>
      <c r="AY4" s="208">
        <v>1.171</v>
      </c>
      <c r="AZ4" s="207">
        <v>2.2709999999999999</v>
      </c>
      <c r="BA4" s="207">
        <v>20.582000000000001</v>
      </c>
      <c r="BB4" s="208">
        <v>0.3</v>
      </c>
      <c r="BC4" s="208">
        <v>0.29499999999999998</v>
      </c>
      <c r="BD4" s="209">
        <v>48.567999999999998</v>
      </c>
      <c r="BE4" s="216">
        <v>803.25300000000004</v>
      </c>
      <c r="BF4" s="190"/>
      <c r="BG4" s="190"/>
      <c r="BH4" s="189"/>
    </row>
    <row r="5" spans="1:60" ht="22.5">
      <c r="A5" s="184" t="s">
        <v>913</v>
      </c>
      <c r="B5" s="185" t="s">
        <v>1429</v>
      </c>
      <c r="C5" s="186">
        <v>296.81210349195067</v>
      </c>
      <c r="D5" s="187" t="s">
        <v>52</v>
      </c>
      <c r="E5" s="187" t="s">
        <v>50</v>
      </c>
      <c r="F5" s="206">
        <v>898.80600000000004</v>
      </c>
      <c r="G5" s="181">
        <v>40.154492570645054</v>
      </c>
      <c r="H5" s="181">
        <v>39.173641232410858</v>
      </c>
      <c r="I5" s="181">
        <v>20.671866196944087</v>
      </c>
      <c r="J5" s="206">
        <v>88.733999999999995</v>
      </c>
      <c r="K5" s="206">
        <v>38.473999999999997</v>
      </c>
      <c r="L5" s="206">
        <v>20.611999999999998</v>
      </c>
      <c r="M5" s="206">
        <v>17.863</v>
      </c>
      <c r="N5" s="206">
        <v>45.680999999999997</v>
      </c>
      <c r="O5" s="206">
        <v>18.832999999999998</v>
      </c>
      <c r="P5" s="206">
        <v>26.849</v>
      </c>
      <c r="Q5" s="206">
        <v>16.116</v>
      </c>
      <c r="R5" s="207">
        <v>1.982</v>
      </c>
      <c r="S5" s="207">
        <v>11.55</v>
      </c>
      <c r="T5" s="206">
        <v>452.315</v>
      </c>
      <c r="U5" s="206">
        <v>13.494999999999999</v>
      </c>
      <c r="V5" s="206">
        <v>162.11199999999999</v>
      </c>
      <c r="W5" s="206">
        <v>25.25</v>
      </c>
      <c r="X5" s="206">
        <v>1642.3389999999999</v>
      </c>
      <c r="Y5" s="208">
        <v>11</v>
      </c>
      <c r="Z5" s="206">
        <v>15.426</v>
      </c>
      <c r="AA5" s="206">
        <v>34.473999999999997</v>
      </c>
      <c r="AB5" s="206">
        <v>41.99</v>
      </c>
      <c r="AC5" s="208">
        <v>1.5129999999999999</v>
      </c>
      <c r="AD5" s="207">
        <v>0.95199999999999996</v>
      </c>
      <c r="AE5" s="207">
        <v>13.39</v>
      </c>
      <c r="AF5" s="207">
        <v>1.101</v>
      </c>
      <c r="AG5" s="206">
        <v>349.62400000000002</v>
      </c>
      <c r="AH5" s="207">
        <v>10.798999999999999</v>
      </c>
      <c r="AI5" s="207">
        <v>1.98</v>
      </c>
      <c r="AJ5" s="208">
        <v>0</v>
      </c>
      <c r="AK5" s="206">
        <v>301.34800000000001</v>
      </c>
      <c r="AL5" s="206">
        <v>271.42200000000003</v>
      </c>
      <c r="AM5" s="206">
        <v>29.925999999999998</v>
      </c>
      <c r="AN5" s="206">
        <v>702.16099999999994</v>
      </c>
      <c r="AO5" s="206">
        <v>2912.35</v>
      </c>
      <c r="AP5" s="207">
        <v>38.115000000000002</v>
      </c>
      <c r="AQ5" s="206">
        <v>1930.6769999999999</v>
      </c>
      <c r="AR5" s="206">
        <v>112.848</v>
      </c>
      <c r="AS5" s="207">
        <v>9.3439999999999994</v>
      </c>
      <c r="AT5" s="207">
        <v>7.4210000000000003</v>
      </c>
      <c r="AU5" s="207">
        <v>1.923</v>
      </c>
      <c r="AV5" s="207">
        <v>5.141</v>
      </c>
      <c r="AW5" s="206">
        <v>305.58699999999999</v>
      </c>
      <c r="AX5" s="208">
        <v>0</v>
      </c>
      <c r="AY5" s="208">
        <v>1.7490000000000001</v>
      </c>
      <c r="AZ5" s="207">
        <v>101.375</v>
      </c>
      <c r="BA5" s="207">
        <v>57.759</v>
      </c>
      <c r="BB5" s="208">
        <v>0</v>
      </c>
      <c r="BC5" s="208">
        <v>0.19400000000000001</v>
      </c>
      <c r="BD5" s="209">
        <v>83.673000000000002</v>
      </c>
      <c r="BE5" s="216">
        <v>2547.1660000000002</v>
      </c>
      <c r="BF5" s="191"/>
      <c r="BG5" s="191"/>
      <c r="BH5" s="189"/>
    </row>
    <row r="6" spans="1:60" ht="22.5">
      <c r="A6" s="184" t="s">
        <v>914</v>
      </c>
      <c r="B6" s="185" t="s">
        <v>991</v>
      </c>
      <c r="C6" s="186">
        <v>309.82776588553395</v>
      </c>
      <c r="D6" s="187" t="s">
        <v>52</v>
      </c>
      <c r="E6" s="187" t="s">
        <v>53</v>
      </c>
      <c r="F6" s="206">
        <v>1015.051</v>
      </c>
      <c r="G6" s="181">
        <v>43.689234824479534</v>
      </c>
      <c r="H6" s="181">
        <v>39.720144694726969</v>
      </c>
      <c r="I6" s="181">
        <v>16.590620480793497</v>
      </c>
      <c r="J6" s="206">
        <v>109.06100000000001</v>
      </c>
      <c r="K6" s="206">
        <v>44.067999999999998</v>
      </c>
      <c r="L6" s="206">
        <v>10.792999999999999</v>
      </c>
      <c r="M6" s="206">
        <v>33.274999999999999</v>
      </c>
      <c r="N6" s="206">
        <v>41.414999999999999</v>
      </c>
      <c r="O6" s="206">
        <v>13.69</v>
      </c>
      <c r="P6" s="206">
        <v>27.725000000000001</v>
      </c>
      <c r="Q6" s="206">
        <v>9.64</v>
      </c>
      <c r="R6" s="207">
        <v>1.5429999999999999</v>
      </c>
      <c r="S6" s="207">
        <v>7.9119999999999999</v>
      </c>
      <c r="T6" s="206">
        <v>451.64400000000001</v>
      </c>
      <c r="U6" s="206">
        <v>9.7370000000000001</v>
      </c>
      <c r="V6" s="206">
        <v>215.678</v>
      </c>
      <c r="W6" s="206">
        <v>177</v>
      </c>
      <c r="X6" s="206">
        <v>464.13900000000001</v>
      </c>
      <c r="Y6" s="208">
        <v>2</v>
      </c>
      <c r="Z6" s="206">
        <v>9.1229999999999993</v>
      </c>
      <c r="AA6" s="206">
        <v>34.857999999999997</v>
      </c>
      <c r="AB6" s="206">
        <v>23.606999999999999</v>
      </c>
      <c r="AC6" s="208">
        <v>1.046</v>
      </c>
      <c r="AD6" s="207">
        <v>0.39900000000000002</v>
      </c>
      <c r="AE6" s="207">
        <v>3.5209999999999999</v>
      </c>
      <c r="AF6" s="207">
        <v>1.21</v>
      </c>
      <c r="AG6" s="206">
        <v>170.1</v>
      </c>
      <c r="AH6" s="207">
        <v>3.28</v>
      </c>
      <c r="AI6" s="207">
        <v>1.8680000000000001</v>
      </c>
      <c r="AJ6" s="208">
        <v>0</v>
      </c>
      <c r="AK6" s="206">
        <v>293.351</v>
      </c>
      <c r="AL6" s="206">
        <v>113.101</v>
      </c>
      <c r="AM6" s="206">
        <v>180.25</v>
      </c>
      <c r="AN6" s="206">
        <v>579.66600000000005</v>
      </c>
      <c r="AO6" s="206">
        <v>2136.9499999999998</v>
      </c>
      <c r="AP6" s="207">
        <v>22.99</v>
      </c>
      <c r="AQ6" s="206">
        <v>1328.1690000000001</v>
      </c>
      <c r="AR6" s="206">
        <v>64.796999999999997</v>
      </c>
      <c r="AS6" s="207">
        <v>4.5640000000000001</v>
      </c>
      <c r="AT6" s="207">
        <v>3.839</v>
      </c>
      <c r="AU6" s="207">
        <v>0.72499999999999998</v>
      </c>
      <c r="AV6" s="207">
        <v>6.1920000000000002</v>
      </c>
      <c r="AW6" s="206">
        <v>257.92099999999999</v>
      </c>
      <c r="AX6" s="208">
        <v>1.7000000000000001E-2</v>
      </c>
      <c r="AY6" s="208">
        <v>0.8</v>
      </c>
      <c r="AZ6" s="207">
        <v>1.8129999999999999</v>
      </c>
      <c r="BA6" s="207">
        <v>46.405000000000001</v>
      </c>
      <c r="BB6" s="208">
        <v>0</v>
      </c>
      <c r="BC6" s="208">
        <v>12.632</v>
      </c>
      <c r="BD6" s="209">
        <v>125.105</v>
      </c>
      <c r="BE6" s="216">
        <v>1968.5170000000001</v>
      </c>
      <c r="BF6" s="192"/>
      <c r="BG6" s="192"/>
      <c r="BH6" s="189"/>
    </row>
    <row r="7" spans="1:60">
      <c r="A7" s="184" t="s">
        <v>915</v>
      </c>
      <c r="B7" s="185" t="s">
        <v>1430</v>
      </c>
      <c r="C7" s="186">
        <v>323.43357657014582</v>
      </c>
      <c r="D7" s="187" t="s">
        <v>52</v>
      </c>
      <c r="E7" s="187" t="s">
        <v>53</v>
      </c>
      <c r="F7" s="206">
        <v>1642.729</v>
      </c>
      <c r="G7" s="181">
        <v>12.682468862385077</v>
      </c>
      <c r="H7" s="181">
        <v>49.014448005361864</v>
      </c>
      <c r="I7" s="181">
        <v>38.303083132253064</v>
      </c>
      <c r="J7" s="206">
        <v>50.05</v>
      </c>
      <c r="K7" s="206">
        <v>85.968999999999994</v>
      </c>
      <c r="L7" s="206">
        <v>2.206</v>
      </c>
      <c r="M7" s="206">
        <v>83.763000000000005</v>
      </c>
      <c r="N7" s="206">
        <v>151.15899999999999</v>
      </c>
      <c r="O7" s="206">
        <v>5.5839999999999996</v>
      </c>
      <c r="P7" s="206">
        <v>145.57499999999999</v>
      </c>
      <c r="Q7" s="206">
        <v>3.7650000000000001</v>
      </c>
      <c r="R7" s="207">
        <v>0.37</v>
      </c>
      <c r="S7" s="207">
        <v>2.8220000000000001</v>
      </c>
      <c r="T7" s="206">
        <v>433.30500000000001</v>
      </c>
      <c r="U7" s="206">
        <v>9.8179999999999996</v>
      </c>
      <c r="V7" s="206">
        <v>413.21199999999999</v>
      </c>
      <c r="W7" s="206">
        <v>370.55</v>
      </c>
      <c r="X7" s="206">
        <v>511.94</v>
      </c>
      <c r="Y7" s="208">
        <v>0.27</v>
      </c>
      <c r="Z7" s="206">
        <v>4.7759999999999998</v>
      </c>
      <c r="AA7" s="206">
        <v>13.941000000000001</v>
      </c>
      <c r="AB7" s="206">
        <v>19.097999999999999</v>
      </c>
      <c r="AC7" s="208">
        <v>0.38100000000000001</v>
      </c>
      <c r="AD7" s="207">
        <v>1.62</v>
      </c>
      <c r="AE7" s="207">
        <v>12.82</v>
      </c>
      <c r="AF7" s="207">
        <v>1.5509999999999999</v>
      </c>
      <c r="AG7" s="206">
        <v>159.40199999999999</v>
      </c>
      <c r="AH7" s="207">
        <v>1.899</v>
      </c>
      <c r="AI7" s="207">
        <v>0.64100000000000001</v>
      </c>
      <c r="AJ7" s="208">
        <v>0</v>
      </c>
      <c r="AK7" s="206">
        <v>106.482</v>
      </c>
      <c r="AL7" s="206">
        <v>50.752000000000002</v>
      </c>
      <c r="AM7" s="206">
        <v>55.73</v>
      </c>
      <c r="AN7" s="206">
        <v>1037.788</v>
      </c>
      <c r="AO7" s="206">
        <v>1628.742</v>
      </c>
      <c r="AP7" s="207">
        <v>16.335000000000001</v>
      </c>
      <c r="AQ7" s="206">
        <v>1790.83</v>
      </c>
      <c r="AR7" s="206">
        <v>23.114000000000001</v>
      </c>
      <c r="AS7" s="207">
        <v>11.073</v>
      </c>
      <c r="AT7" s="207">
        <v>4.1219999999999999</v>
      </c>
      <c r="AU7" s="207">
        <v>6.9509999999999996</v>
      </c>
      <c r="AV7" s="207">
        <v>11.436</v>
      </c>
      <c r="AW7" s="206">
        <v>154.9</v>
      </c>
      <c r="AX7" s="208">
        <v>0</v>
      </c>
      <c r="AY7" s="208">
        <v>1.1120000000000001</v>
      </c>
      <c r="AZ7" s="207">
        <v>4.47</v>
      </c>
      <c r="BA7" s="207">
        <v>13.096</v>
      </c>
      <c r="BB7" s="208">
        <v>0</v>
      </c>
      <c r="BC7" s="208">
        <v>0.17699999999999999</v>
      </c>
      <c r="BD7" s="209">
        <v>492.57299999999998</v>
      </c>
      <c r="BE7" s="216">
        <v>1164.279</v>
      </c>
      <c r="BF7" s="193"/>
      <c r="BG7" s="193"/>
      <c r="BH7" s="189"/>
    </row>
    <row r="8" spans="1:60">
      <c r="A8" s="184" t="s">
        <v>916</v>
      </c>
      <c r="B8" s="185" t="s">
        <v>992</v>
      </c>
      <c r="C8" s="186">
        <v>373.92161207999146</v>
      </c>
      <c r="D8" s="187" t="s">
        <v>52</v>
      </c>
      <c r="E8" s="187" t="s">
        <v>53</v>
      </c>
      <c r="F8" s="206">
        <v>1041.211</v>
      </c>
      <c r="G8" s="181">
        <v>52.766878161457264</v>
      </c>
      <c r="H8" s="181">
        <v>32.249934212449929</v>
      </c>
      <c r="I8" s="181">
        <v>14.983187626092805</v>
      </c>
      <c r="J8" s="206">
        <v>135.351</v>
      </c>
      <c r="K8" s="206">
        <v>36.765999999999998</v>
      </c>
      <c r="L8" s="206">
        <v>13.981</v>
      </c>
      <c r="M8" s="206">
        <v>22.785</v>
      </c>
      <c r="N8" s="206">
        <v>38.433</v>
      </c>
      <c r="O8" s="206">
        <v>14.54</v>
      </c>
      <c r="P8" s="206">
        <v>23.893000000000001</v>
      </c>
      <c r="Q8" s="206">
        <v>13.914</v>
      </c>
      <c r="R8" s="207">
        <v>1.988</v>
      </c>
      <c r="S8" s="207">
        <v>9.2910000000000004</v>
      </c>
      <c r="T8" s="206">
        <v>470.41399999999999</v>
      </c>
      <c r="U8" s="206">
        <v>11.361000000000001</v>
      </c>
      <c r="V8" s="206">
        <v>146.71799999999999</v>
      </c>
      <c r="W8" s="206">
        <v>26.495999999999999</v>
      </c>
      <c r="X8" s="206">
        <v>1442.6579999999999</v>
      </c>
      <c r="Y8" s="208">
        <v>0.54</v>
      </c>
      <c r="Z8" s="206">
        <v>14.087</v>
      </c>
      <c r="AA8" s="206">
        <v>74.647999999999996</v>
      </c>
      <c r="AB8" s="206">
        <v>48.875</v>
      </c>
      <c r="AC8" s="208">
        <v>0.875</v>
      </c>
      <c r="AD8" s="207">
        <v>0.76</v>
      </c>
      <c r="AE8" s="207">
        <v>8.0909999999999993</v>
      </c>
      <c r="AF8" s="207">
        <v>0.76300000000000001</v>
      </c>
      <c r="AG8" s="206">
        <v>320.346</v>
      </c>
      <c r="AH8" s="207">
        <v>3.1019999999999999</v>
      </c>
      <c r="AI8" s="207">
        <v>2.5710000000000002</v>
      </c>
      <c r="AJ8" s="208">
        <v>0</v>
      </c>
      <c r="AK8" s="206">
        <v>195.33699999999999</v>
      </c>
      <c r="AL8" s="206">
        <v>157.798</v>
      </c>
      <c r="AM8" s="206">
        <v>37.539000000000001</v>
      </c>
      <c r="AN8" s="206">
        <v>526.23</v>
      </c>
      <c r="AO8" s="206">
        <v>2653.9560000000001</v>
      </c>
      <c r="AP8" s="207">
        <v>21.175000000000001</v>
      </c>
      <c r="AQ8" s="206">
        <v>1579.654</v>
      </c>
      <c r="AR8" s="206">
        <v>42.51</v>
      </c>
      <c r="AS8" s="207">
        <v>10.317</v>
      </c>
      <c r="AT8" s="207">
        <v>7.3239999999999998</v>
      </c>
      <c r="AU8" s="207">
        <v>2.9940000000000002</v>
      </c>
      <c r="AV8" s="207">
        <v>6.194</v>
      </c>
      <c r="AW8" s="206">
        <v>339.10300000000001</v>
      </c>
      <c r="AX8" s="208">
        <v>8.0000000000000002E-3</v>
      </c>
      <c r="AY8" s="208">
        <v>0.91400000000000003</v>
      </c>
      <c r="AZ8" s="207">
        <v>32.526000000000003</v>
      </c>
      <c r="BA8" s="207">
        <v>47.975000000000001</v>
      </c>
      <c r="BB8" s="208">
        <v>0</v>
      </c>
      <c r="BC8" s="208">
        <v>0.12</v>
      </c>
      <c r="BD8" s="209">
        <v>176.989</v>
      </c>
      <c r="BE8" s="216">
        <v>2387.0340000000001</v>
      </c>
      <c r="BF8" s="194"/>
      <c r="BG8" s="194"/>
      <c r="BH8" s="189"/>
    </row>
    <row r="9" spans="1:60">
      <c r="A9" s="184" t="s">
        <v>917</v>
      </c>
      <c r="B9" s="185" t="s">
        <v>993</v>
      </c>
      <c r="C9" s="186">
        <v>407.26579880389198</v>
      </c>
      <c r="D9" s="187" t="s">
        <v>52</v>
      </c>
      <c r="E9" s="187" t="s">
        <v>98</v>
      </c>
      <c r="F9" s="206">
        <v>453.59300000000002</v>
      </c>
      <c r="G9" s="181">
        <v>72.679370191447489</v>
      </c>
      <c r="H9" s="181">
        <v>8.7278582930756841</v>
      </c>
      <c r="I9" s="181">
        <v>18.59277151547683</v>
      </c>
      <c r="J9" s="206">
        <v>81.241</v>
      </c>
      <c r="K9" s="206">
        <v>4.3360000000000003</v>
      </c>
      <c r="L9" s="206">
        <v>4.2859999999999996</v>
      </c>
      <c r="M9" s="206">
        <v>0.05</v>
      </c>
      <c r="N9" s="206">
        <v>20.783000000000001</v>
      </c>
      <c r="O9" s="206">
        <v>20.201000000000001</v>
      </c>
      <c r="P9" s="206">
        <v>0.58299999999999996</v>
      </c>
      <c r="Q9" s="206">
        <v>11.747</v>
      </c>
      <c r="R9" s="207">
        <v>0.157</v>
      </c>
      <c r="S9" s="207">
        <v>1.474</v>
      </c>
      <c r="T9" s="206">
        <v>188.90100000000001</v>
      </c>
      <c r="U9" s="206">
        <v>7.5389999999999997</v>
      </c>
      <c r="V9" s="206">
        <v>48.185000000000002</v>
      </c>
      <c r="W9" s="206">
        <v>0.39600000000000002</v>
      </c>
      <c r="X9" s="206">
        <v>573.47299999999996</v>
      </c>
      <c r="Y9" s="208">
        <v>0</v>
      </c>
      <c r="Z9" s="206">
        <v>2.8239999999999998</v>
      </c>
      <c r="AA9" s="206">
        <v>68.183000000000007</v>
      </c>
      <c r="AB9" s="206">
        <v>21.667000000000002</v>
      </c>
      <c r="AC9" s="208">
        <v>0.57199999999999995</v>
      </c>
      <c r="AD9" s="207">
        <v>0.16200000000000001</v>
      </c>
      <c r="AE9" s="207">
        <v>2.9580000000000002</v>
      </c>
      <c r="AF9" s="207">
        <v>0.29399999999999998</v>
      </c>
      <c r="AG9" s="206">
        <v>179.19300000000001</v>
      </c>
      <c r="AH9" s="207">
        <v>3.0659999999999998</v>
      </c>
      <c r="AI9" s="207">
        <v>0.17799999999999999</v>
      </c>
      <c r="AJ9" s="208">
        <v>0</v>
      </c>
      <c r="AK9" s="206">
        <v>112.232</v>
      </c>
      <c r="AL9" s="206">
        <v>98.742999999999995</v>
      </c>
      <c r="AM9" s="206">
        <v>13.489000000000001</v>
      </c>
      <c r="AN9" s="206">
        <v>267.78399999999999</v>
      </c>
      <c r="AO9" s="206">
        <v>3442.3040000000001</v>
      </c>
      <c r="AP9" s="207">
        <v>22.385000000000002</v>
      </c>
      <c r="AQ9" s="206">
        <v>792.91200000000003</v>
      </c>
      <c r="AR9" s="206">
        <v>62.237000000000002</v>
      </c>
      <c r="AS9" s="207">
        <v>4.68</v>
      </c>
      <c r="AT9" s="207">
        <v>4.476</v>
      </c>
      <c r="AU9" s="207">
        <v>0.20399999999999999</v>
      </c>
      <c r="AV9" s="207">
        <v>3.1859999999999999</v>
      </c>
      <c r="AW9" s="206">
        <v>364.71</v>
      </c>
      <c r="AX9" s="208">
        <v>1E-3</v>
      </c>
      <c r="AY9" s="208">
        <v>0.83599999999999997</v>
      </c>
      <c r="AZ9" s="207">
        <v>2.778</v>
      </c>
      <c r="BA9" s="207">
        <v>10.347</v>
      </c>
      <c r="BB9" s="208">
        <v>0</v>
      </c>
      <c r="BC9" s="208">
        <v>3.6999999999999998E-2</v>
      </c>
      <c r="BD9" s="209">
        <v>7.7679999999999998</v>
      </c>
      <c r="BE9" s="216">
        <v>1485.883</v>
      </c>
      <c r="BF9" s="195"/>
      <c r="BG9" s="195"/>
      <c r="BH9" s="189"/>
    </row>
    <row r="10" spans="1:60">
      <c r="A10" s="184" t="s">
        <v>918</v>
      </c>
      <c r="B10" s="185" t="s">
        <v>994</v>
      </c>
      <c r="C10" s="186">
        <v>191.71986294334755</v>
      </c>
      <c r="D10" s="187" t="s">
        <v>52</v>
      </c>
      <c r="E10" s="187" t="s">
        <v>51</v>
      </c>
      <c r="F10" s="206">
        <v>562.23299999999995</v>
      </c>
      <c r="G10" s="181">
        <v>59.943061940869171</v>
      </c>
      <c r="H10" s="181">
        <v>20.927224315683763</v>
      </c>
      <c r="I10" s="181">
        <v>19.129713743447056</v>
      </c>
      <c r="J10" s="206">
        <v>81.326999999999998</v>
      </c>
      <c r="K10" s="206">
        <v>12.619</v>
      </c>
      <c r="L10" s="206">
        <v>0.40100000000000002</v>
      </c>
      <c r="M10" s="206">
        <v>12.218</v>
      </c>
      <c r="N10" s="206">
        <v>25.954000000000001</v>
      </c>
      <c r="O10" s="206">
        <v>6.5389999999999997</v>
      </c>
      <c r="P10" s="206">
        <v>19.414999999999999</v>
      </c>
      <c r="Q10" s="206">
        <v>3.351</v>
      </c>
      <c r="R10" s="207">
        <v>0.35599999999999998</v>
      </c>
      <c r="S10" s="207">
        <v>2.7090000000000001</v>
      </c>
      <c r="T10" s="206">
        <v>169.36799999999999</v>
      </c>
      <c r="U10" s="206">
        <v>5.9329999999999998</v>
      </c>
      <c r="V10" s="206">
        <v>45.716000000000001</v>
      </c>
      <c r="W10" s="206">
        <v>0</v>
      </c>
      <c r="X10" s="206">
        <v>548.59</v>
      </c>
      <c r="Y10" s="208">
        <v>0</v>
      </c>
      <c r="Z10" s="206">
        <v>1.524</v>
      </c>
      <c r="AA10" s="206">
        <v>10.513999999999999</v>
      </c>
      <c r="AB10" s="206">
        <v>17.228000000000002</v>
      </c>
      <c r="AC10" s="208">
        <v>0.36099999999999999</v>
      </c>
      <c r="AD10" s="207">
        <v>0.372</v>
      </c>
      <c r="AE10" s="207">
        <v>3.101</v>
      </c>
      <c r="AF10" s="207">
        <v>0.41399999999999998</v>
      </c>
      <c r="AG10" s="206">
        <v>86.637</v>
      </c>
      <c r="AH10" s="207">
        <v>2.4300000000000002</v>
      </c>
      <c r="AI10" s="207">
        <v>1.542</v>
      </c>
      <c r="AJ10" s="208">
        <v>0</v>
      </c>
      <c r="AK10" s="206">
        <v>73.864000000000004</v>
      </c>
      <c r="AL10" s="206">
        <v>45.433999999999997</v>
      </c>
      <c r="AM10" s="206">
        <v>28.43</v>
      </c>
      <c r="AN10" s="206">
        <v>288.93400000000003</v>
      </c>
      <c r="AO10" s="206">
        <v>1445.491</v>
      </c>
      <c r="AP10" s="207">
        <v>19.36</v>
      </c>
      <c r="AQ10" s="206">
        <v>701.24300000000005</v>
      </c>
      <c r="AR10" s="206">
        <v>10.752000000000001</v>
      </c>
      <c r="AS10" s="207">
        <v>6.415</v>
      </c>
      <c r="AT10" s="207">
        <v>3.419</v>
      </c>
      <c r="AU10" s="207">
        <v>2.996</v>
      </c>
      <c r="AV10" s="207">
        <v>4.0519999999999996</v>
      </c>
      <c r="AW10" s="206">
        <v>120.51300000000001</v>
      </c>
      <c r="AX10" s="208">
        <v>0</v>
      </c>
      <c r="AY10" s="208">
        <v>0.51100000000000001</v>
      </c>
      <c r="AZ10" s="207">
        <v>30.73</v>
      </c>
      <c r="BA10" s="207">
        <v>17.266999999999999</v>
      </c>
      <c r="BB10" s="208">
        <v>0</v>
      </c>
      <c r="BC10" s="208">
        <v>3.4000000000000002E-2</v>
      </c>
      <c r="BD10" s="209">
        <v>38.155000000000001</v>
      </c>
      <c r="BE10" s="216">
        <v>1332.2639999999999</v>
      </c>
      <c r="BF10" s="196"/>
      <c r="BG10" s="196"/>
      <c r="BH10" s="189"/>
    </row>
    <row r="11" spans="1:60">
      <c r="A11" s="184" t="s">
        <v>919</v>
      </c>
      <c r="B11" s="185" t="s">
        <v>995</v>
      </c>
      <c r="C11" s="186">
        <v>290.5694124783671</v>
      </c>
      <c r="D11" s="187" t="s">
        <v>107</v>
      </c>
      <c r="E11" s="187" t="s">
        <v>108</v>
      </c>
      <c r="F11" s="206">
        <v>714.69899999999996</v>
      </c>
      <c r="G11" s="181">
        <v>58.153849641788334</v>
      </c>
      <c r="H11" s="181">
        <v>32.050308334089053</v>
      </c>
      <c r="I11" s="181">
        <v>9.7958420241226083</v>
      </c>
      <c r="J11" s="206">
        <v>102.602</v>
      </c>
      <c r="K11" s="206">
        <v>25.132000000000001</v>
      </c>
      <c r="L11" s="206">
        <v>20.931999999999999</v>
      </c>
      <c r="M11" s="206">
        <v>4.2</v>
      </c>
      <c r="N11" s="206">
        <v>17.283000000000001</v>
      </c>
      <c r="O11" s="206">
        <v>11.000999999999999</v>
      </c>
      <c r="P11" s="206">
        <v>6.2830000000000004</v>
      </c>
      <c r="Q11" s="206">
        <v>7.4989999999999997</v>
      </c>
      <c r="R11" s="207">
        <v>1.1919999999999999</v>
      </c>
      <c r="S11" s="207">
        <v>4.9059999999999997</v>
      </c>
      <c r="T11" s="206">
        <v>159.399</v>
      </c>
      <c r="U11" s="206">
        <v>9.7840000000000007</v>
      </c>
      <c r="V11" s="206">
        <v>90.965000000000003</v>
      </c>
      <c r="W11" s="206">
        <v>43.896000000000001</v>
      </c>
      <c r="X11" s="206">
        <v>564.82299999999998</v>
      </c>
      <c r="Y11" s="208">
        <v>0.9</v>
      </c>
      <c r="Z11" s="206">
        <v>12.074</v>
      </c>
      <c r="AA11" s="206">
        <v>63.911999999999999</v>
      </c>
      <c r="AB11" s="206">
        <v>18.646999999999998</v>
      </c>
      <c r="AC11" s="208">
        <v>0.498</v>
      </c>
      <c r="AD11" s="207">
        <v>1.161</v>
      </c>
      <c r="AE11" s="207">
        <v>2.8919999999999999</v>
      </c>
      <c r="AF11" s="207">
        <v>0.29699999999999999</v>
      </c>
      <c r="AG11" s="206">
        <v>214.26499999999999</v>
      </c>
      <c r="AH11" s="207">
        <v>1.1830000000000001</v>
      </c>
      <c r="AI11" s="207">
        <v>1.222</v>
      </c>
      <c r="AJ11" s="208">
        <v>0</v>
      </c>
      <c r="AK11" s="206">
        <v>282.98</v>
      </c>
      <c r="AL11" s="206">
        <v>243.49100000000001</v>
      </c>
      <c r="AM11" s="206">
        <v>39.488999999999997</v>
      </c>
      <c r="AN11" s="206">
        <v>246.113</v>
      </c>
      <c r="AO11" s="206">
        <v>2699.491</v>
      </c>
      <c r="AP11" s="207">
        <v>33.274999999999999</v>
      </c>
      <c r="AQ11" s="206">
        <v>697.86900000000003</v>
      </c>
      <c r="AR11" s="206">
        <v>13.377000000000001</v>
      </c>
      <c r="AS11" s="207">
        <v>2.95</v>
      </c>
      <c r="AT11" s="207">
        <v>1.897</v>
      </c>
      <c r="AU11" s="207">
        <v>1.054</v>
      </c>
      <c r="AV11" s="207">
        <v>1.897</v>
      </c>
      <c r="AW11" s="206">
        <v>180.11</v>
      </c>
      <c r="AX11" s="208">
        <v>1E-3</v>
      </c>
      <c r="AY11" s="208">
        <v>0.28699999999999998</v>
      </c>
      <c r="AZ11" s="207">
        <v>15.071</v>
      </c>
      <c r="BA11" s="207">
        <v>18.831</v>
      </c>
      <c r="BB11" s="208">
        <v>0</v>
      </c>
      <c r="BC11" s="208">
        <v>3.6999999999999998E-2</v>
      </c>
      <c r="BD11" s="209">
        <v>207.86</v>
      </c>
      <c r="BE11" s="216">
        <v>2090.6289999999999</v>
      </c>
      <c r="BF11" s="197"/>
      <c r="BG11" s="197"/>
      <c r="BH11" s="189"/>
    </row>
    <row r="12" spans="1:60">
      <c r="A12" s="184" t="s">
        <v>920</v>
      </c>
      <c r="B12" s="185" t="s">
        <v>996</v>
      </c>
      <c r="C12" s="186">
        <v>233.33333333333331</v>
      </c>
      <c r="D12" s="187"/>
      <c r="E12" s="187" t="s">
        <v>50</v>
      </c>
      <c r="F12" s="206">
        <v>350.1</v>
      </c>
      <c r="G12" s="181">
        <v>69.781154325887286</v>
      </c>
      <c r="H12" s="181">
        <v>19.083796348792383</v>
      </c>
      <c r="I12" s="181">
        <v>11.135049325320331</v>
      </c>
      <c r="J12" s="206">
        <v>61.54</v>
      </c>
      <c r="K12" s="206">
        <v>7.48</v>
      </c>
      <c r="L12" s="206">
        <v>1.08</v>
      </c>
      <c r="M12" s="206">
        <v>6.4</v>
      </c>
      <c r="N12" s="206">
        <v>9.82</v>
      </c>
      <c r="O12" s="206">
        <v>3.42</v>
      </c>
      <c r="P12" s="206">
        <v>6.4</v>
      </c>
      <c r="Q12" s="206">
        <v>1.44</v>
      </c>
      <c r="R12" s="207">
        <v>0</v>
      </c>
      <c r="S12" s="207">
        <v>0</v>
      </c>
      <c r="T12" s="206">
        <v>178.56</v>
      </c>
      <c r="U12" s="206">
        <v>2.6</v>
      </c>
      <c r="V12" s="206">
        <v>323.39999999999998</v>
      </c>
      <c r="W12" s="206">
        <v>320.8</v>
      </c>
      <c r="X12" s="206">
        <v>31.2</v>
      </c>
      <c r="Y12" s="208">
        <v>4.28</v>
      </c>
      <c r="Z12" s="206">
        <v>5.18</v>
      </c>
      <c r="AA12" s="206">
        <v>0.4</v>
      </c>
      <c r="AB12" s="206">
        <v>32.299999999999997</v>
      </c>
      <c r="AC12" s="208">
        <v>0.73099999999999998</v>
      </c>
      <c r="AD12" s="207">
        <v>0.86499999999999999</v>
      </c>
      <c r="AE12" s="207">
        <v>9.0500000000000007</v>
      </c>
      <c r="AF12" s="207">
        <v>0.82</v>
      </c>
      <c r="AG12" s="206">
        <v>39.799999999999997</v>
      </c>
      <c r="AH12" s="207">
        <v>6.5620000000000003</v>
      </c>
      <c r="AI12" s="207">
        <v>0.77100000000000002</v>
      </c>
      <c r="AJ12" s="208">
        <v>0.182</v>
      </c>
      <c r="AK12" s="206">
        <v>211.5</v>
      </c>
      <c r="AL12" s="206">
        <v>1.5</v>
      </c>
      <c r="AM12" s="206">
        <v>210</v>
      </c>
      <c r="AN12" s="206">
        <v>196.3</v>
      </c>
      <c r="AO12" s="206">
        <v>505.1</v>
      </c>
      <c r="AP12" s="207">
        <v>204</v>
      </c>
      <c r="AQ12" s="206">
        <v>326.60000000000002</v>
      </c>
      <c r="AR12" s="206">
        <v>5.4</v>
      </c>
      <c r="AS12" s="207">
        <v>2.1800000000000002</v>
      </c>
      <c r="AT12" s="207">
        <v>1.98</v>
      </c>
      <c r="AU12" s="207">
        <v>0.2</v>
      </c>
      <c r="AV12" s="207">
        <v>0.92</v>
      </c>
      <c r="AW12" s="206">
        <v>84.8</v>
      </c>
      <c r="AX12" s="208">
        <v>0.01</v>
      </c>
      <c r="AY12" s="208">
        <v>0.104</v>
      </c>
      <c r="AZ12" s="207">
        <v>47.6</v>
      </c>
      <c r="BA12" s="207">
        <v>12.38</v>
      </c>
      <c r="BB12" s="208">
        <v>0</v>
      </c>
      <c r="BC12" s="208">
        <v>0</v>
      </c>
      <c r="BD12" s="209">
        <v>22</v>
      </c>
      <c r="BE12" s="216">
        <v>0</v>
      </c>
    </row>
    <row r="13" spans="1:60" ht="22.5">
      <c r="A13" s="218" t="s">
        <v>921</v>
      </c>
      <c r="B13" s="220" t="s">
        <v>1431</v>
      </c>
      <c r="C13" s="221">
        <v>283.88997798314608</v>
      </c>
      <c r="D13" s="222" t="s">
        <v>107</v>
      </c>
      <c r="E13" s="222" t="s">
        <v>108</v>
      </c>
      <c r="F13" s="231">
        <v>1127.77</v>
      </c>
      <c r="G13" s="232">
        <v>45.284726596010991</v>
      </c>
      <c r="H13" s="181">
        <v>38.632717256419191</v>
      </c>
      <c r="I13" s="181">
        <v>16.082556147569829</v>
      </c>
      <c r="J13" s="206">
        <v>127.084</v>
      </c>
      <c r="K13" s="206">
        <v>48.185000000000002</v>
      </c>
      <c r="L13" s="206">
        <v>24.382999999999999</v>
      </c>
      <c r="M13" s="206">
        <v>23.802</v>
      </c>
      <c r="N13" s="206">
        <v>45.133000000000003</v>
      </c>
      <c r="O13" s="206">
        <v>15.055</v>
      </c>
      <c r="P13" s="206">
        <v>30.077999999999999</v>
      </c>
      <c r="Q13" s="206">
        <v>18.448</v>
      </c>
      <c r="R13" s="207">
        <v>4.3440000000000003</v>
      </c>
      <c r="S13" s="207">
        <v>11.805</v>
      </c>
      <c r="T13" s="206">
        <v>452.06900000000002</v>
      </c>
      <c r="U13" s="206">
        <v>12.728999999999999</v>
      </c>
      <c r="V13" s="206">
        <v>385.84699999999998</v>
      </c>
      <c r="W13" s="206">
        <v>40.996000000000002</v>
      </c>
      <c r="X13" s="206">
        <v>4138.2129999999997</v>
      </c>
      <c r="Y13" s="208">
        <v>5.125</v>
      </c>
      <c r="Z13" s="206">
        <v>20.768999999999998</v>
      </c>
      <c r="AA13" s="206">
        <v>363.80099999999999</v>
      </c>
      <c r="AB13" s="206">
        <v>64.554000000000002</v>
      </c>
      <c r="AC13" s="208">
        <v>0.83199999999999996</v>
      </c>
      <c r="AD13" s="207">
        <v>0.871</v>
      </c>
      <c r="AE13" s="207">
        <v>9.4640000000000004</v>
      </c>
      <c r="AF13" s="207">
        <v>0.96</v>
      </c>
      <c r="AG13" s="206">
        <v>417.87200000000001</v>
      </c>
      <c r="AH13" s="207">
        <v>4.976</v>
      </c>
      <c r="AI13" s="207">
        <v>2.4780000000000002</v>
      </c>
      <c r="AJ13" s="208">
        <v>0</v>
      </c>
      <c r="AK13" s="206">
        <v>241.87899999999999</v>
      </c>
      <c r="AL13" s="206">
        <v>208.66499999999999</v>
      </c>
      <c r="AM13" s="206">
        <v>33.213999999999999</v>
      </c>
      <c r="AN13" s="206">
        <v>555.62800000000004</v>
      </c>
      <c r="AO13" s="206">
        <v>3048.0340000000001</v>
      </c>
      <c r="AP13" s="207">
        <v>18.149999999999999</v>
      </c>
      <c r="AQ13" s="206">
        <v>2047.223</v>
      </c>
      <c r="AR13" s="206">
        <v>111.876</v>
      </c>
      <c r="AS13" s="207">
        <v>10.398</v>
      </c>
      <c r="AT13" s="207">
        <v>7.6970000000000001</v>
      </c>
      <c r="AU13" s="207">
        <v>2.7010000000000001</v>
      </c>
      <c r="AV13" s="207">
        <v>9.2319999999999993</v>
      </c>
      <c r="AW13" s="206">
        <v>328.24599999999998</v>
      </c>
      <c r="AX13" s="208">
        <v>2.1999999999999999E-2</v>
      </c>
      <c r="AY13" s="208">
        <v>0.67500000000000004</v>
      </c>
      <c r="AZ13" s="207">
        <v>590.45899999999995</v>
      </c>
      <c r="BA13" s="207">
        <v>40.404000000000003</v>
      </c>
      <c r="BB13" s="208">
        <v>0</v>
      </c>
      <c r="BC13" s="208">
        <v>1.5549999999999999</v>
      </c>
      <c r="BD13" s="209">
        <v>219.55</v>
      </c>
      <c r="BE13" s="216">
        <v>2426.7629999999999</v>
      </c>
    </row>
    <row r="14" spans="1:60">
      <c r="A14" s="218" t="s">
        <v>922</v>
      </c>
      <c r="B14" s="220" t="s">
        <v>1432</v>
      </c>
      <c r="C14" s="221">
        <v>303.33560268121761</v>
      </c>
      <c r="D14" s="222" t="s">
        <v>52</v>
      </c>
      <c r="E14" s="222" t="s">
        <v>53</v>
      </c>
      <c r="F14" s="231">
        <v>708.19299999999998</v>
      </c>
      <c r="G14" s="232">
        <v>65.789826386729942</v>
      </c>
      <c r="H14" s="181">
        <v>21.925013989927251</v>
      </c>
      <c r="I14" s="181">
        <v>12.2851596233428</v>
      </c>
      <c r="J14" s="206">
        <v>119.036</v>
      </c>
      <c r="K14" s="206">
        <v>17.631</v>
      </c>
      <c r="L14" s="206">
        <v>9.6210000000000004</v>
      </c>
      <c r="M14" s="206">
        <v>8.01</v>
      </c>
      <c r="N14" s="206">
        <v>22.228000000000002</v>
      </c>
      <c r="O14" s="206">
        <v>14.686</v>
      </c>
      <c r="P14" s="206">
        <v>7.5430000000000001</v>
      </c>
      <c r="Q14" s="206">
        <v>9.0370000000000008</v>
      </c>
      <c r="R14" s="207">
        <v>0.88700000000000001</v>
      </c>
      <c r="S14" s="207">
        <v>4.7140000000000004</v>
      </c>
      <c r="T14" s="206">
        <v>349.334</v>
      </c>
      <c r="U14" s="206">
        <v>6.51</v>
      </c>
      <c r="V14" s="206">
        <v>253.94</v>
      </c>
      <c r="W14" s="206">
        <v>2.7959999999999998</v>
      </c>
      <c r="X14" s="206">
        <v>3013.723</v>
      </c>
      <c r="Y14" s="208">
        <v>0</v>
      </c>
      <c r="Z14" s="206">
        <v>13.846</v>
      </c>
      <c r="AA14" s="206">
        <v>98.85</v>
      </c>
      <c r="AB14" s="206">
        <v>53.487000000000002</v>
      </c>
      <c r="AC14" s="208">
        <v>1.1910000000000001</v>
      </c>
      <c r="AD14" s="207">
        <v>0.39900000000000002</v>
      </c>
      <c r="AE14" s="207">
        <v>4.6660000000000004</v>
      </c>
      <c r="AF14" s="207">
        <v>0.96499999999999997</v>
      </c>
      <c r="AG14" s="206">
        <v>248.96100000000001</v>
      </c>
      <c r="AH14" s="207">
        <v>0.74</v>
      </c>
      <c r="AI14" s="207">
        <v>2.0579999999999998</v>
      </c>
      <c r="AJ14" s="208">
        <v>0</v>
      </c>
      <c r="AK14" s="206">
        <v>235.78200000000001</v>
      </c>
      <c r="AL14" s="206">
        <v>218.69300000000001</v>
      </c>
      <c r="AM14" s="206">
        <v>17.088999999999999</v>
      </c>
      <c r="AN14" s="206">
        <v>418.709</v>
      </c>
      <c r="AO14" s="231">
        <v>2044.0909999999999</v>
      </c>
      <c r="AP14" s="207">
        <v>4.2350000000000003</v>
      </c>
      <c r="AQ14" s="206">
        <v>1840.1869999999999</v>
      </c>
      <c r="AR14" s="206">
        <v>108.85599999999999</v>
      </c>
      <c r="AS14" s="207">
        <v>13.206</v>
      </c>
      <c r="AT14" s="207">
        <v>12.683</v>
      </c>
      <c r="AU14" s="207">
        <v>0.52400000000000002</v>
      </c>
      <c r="AV14" s="207">
        <v>4.9809999999999999</v>
      </c>
      <c r="AW14" s="206">
        <v>455.55</v>
      </c>
      <c r="AX14" s="208">
        <v>0</v>
      </c>
      <c r="AY14" s="208">
        <v>1.8029999999999999</v>
      </c>
      <c r="AZ14" s="207">
        <v>17.710999999999999</v>
      </c>
      <c r="BA14" s="207">
        <v>22.984000000000002</v>
      </c>
      <c r="BB14" s="208">
        <v>0</v>
      </c>
      <c r="BC14" s="208">
        <v>3.319</v>
      </c>
      <c r="BD14" s="209">
        <v>23.722999999999999</v>
      </c>
      <c r="BE14" s="216">
        <v>1993.4449999999999</v>
      </c>
    </row>
    <row r="15" spans="1:60">
      <c r="A15" s="218" t="s">
        <v>923</v>
      </c>
      <c r="B15" s="220" t="s">
        <v>997</v>
      </c>
      <c r="C15" s="221">
        <v>319.11741074382508</v>
      </c>
      <c r="D15" s="222" t="s">
        <v>52</v>
      </c>
      <c r="E15" s="222" t="s">
        <v>53</v>
      </c>
      <c r="F15" s="231">
        <v>618.68899999999996</v>
      </c>
      <c r="G15" s="232">
        <v>59.162920958681077</v>
      </c>
      <c r="H15" s="181">
        <v>24.483224402310508</v>
      </c>
      <c r="I15" s="181">
        <v>16.353854639008429</v>
      </c>
      <c r="J15" s="206">
        <v>89.57</v>
      </c>
      <c r="K15" s="206">
        <v>16.474</v>
      </c>
      <c r="L15" s="206">
        <v>1.488</v>
      </c>
      <c r="M15" s="206">
        <v>14.986000000000001</v>
      </c>
      <c r="N15" s="206">
        <v>24.759</v>
      </c>
      <c r="O15" s="206">
        <v>10.692</v>
      </c>
      <c r="P15" s="206">
        <v>14.067</v>
      </c>
      <c r="Q15" s="206">
        <v>8.5559999999999992</v>
      </c>
      <c r="R15" s="207">
        <v>0.97499999999999998</v>
      </c>
      <c r="S15" s="207">
        <v>6.7750000000000004</v>
      </c>
      <c r="T15" s="206">
        <v>278.31599999999997</v>
      </c>
      <c r="U15" s="206">
        <v>6.5369999999999999</v>
      </c>
      <c r="V15" s="206">
        <v>211.751</v>
      </c>
      <c r="W15" s="206">
        <v>22.5</v>
      </c>
      <c r="X15" s="206">
        <v>2271.0120000000002</v>
      </c>
      <c r="Y15" s="208">
        <v>0.36</v>
      </c>
      <c r="Z15" s="206">
        <v>4.2329999999999997</v>
      </c>
      <c r="AA15" s="206">
        <v>30.225999999999999</v>
      </c>
      <c r="AB15" s="206">
        <v>37.677999999999997</v>
      </c>
      <c r="AC15" s="208">
        <v>0.56899999999999995</v>
      </c>
      <c r="AD15" s="207">
        <v>0.56000000000000005</v>
      </c>
      <c r="AE15" s="207">
        <v>4.1390000000000002</v>
      </c>
      <c r="AF15" s="207">
        <v>0.48799999999999999</v>
      </c>
      <c r="AG15" s="206">
        <v>189.358</v>
      </c>
      <c r="AH15" s="207">
        <v>1.716</v>
      </c>
      <c r="AI15" s="207">
        <v>1.8480000000000001</v>
      </c>
      <c r="AJ15" s="208">
        <v>0</v>
      </c>
      <c r="AK15" s="206">
        <v>121.83499999999999</v>
      </c>
      <c r="AL15" s="206">
        <v>86.204999999999998</v>
      </c>
      <c r="AM15" s="206">
        <v>35.630000000000003</v>
      </c>
      <c r="AN15" s="206">
        <v>342.63099999999997</v>
      </c>
      <c r="AO15" s="206">
        <v>1475.117</v>
      </c>
      <c r="AP15" s="207">
        <v>14.26</v>
      </c>
      <c r="AQ15" s="206">
        <v>1056.2460000000001</v>
      </c>
      <c r="AR15" s="206">
        <v>25.913</v>
      </c>
      <c r="AS15" s="207">
        <v>7.1630000000000003</v>
      </c>
      <c r="AT15" s="207">
        <v>4.9809999999999999</v>
      </c>
      <c r="AU15" s="207">
        <v>2.1819999999999999</v>
      </c>
      <c r="AV15" s="207">
        <v>4.1989999999999998</v>
      </c>
      <c r="AW15" s="206">
        <v>246.68600000000001</v>
      </c>
      <c r="AX15" s="208">
        <v>0</v>
      </c>
      <c r="AY15" s="208">
        <v>0.89900000000000002</v>
      </c>
      <c r="AZ15" s="207">
        <v>23.818000000000001</v>
      </c>
      <c r="BA15" s="207">
        <v>17.925000000000001</v>
      </c>
      <c r="BB15" s="208">
        <v>0</v>
      </c>
      <c r="BC15" s="208">
        <v>1.3340000000000001</v>
      </c>
      <c r="BD15" s="209">
        <v>103.755</v>
      </c>
      <c r="BE15" s="216">
        <v>996.29399999999998</v>
      </c>
    </row>
    <row r="16" spans="1:60">
      <c r="A16" s="218" t="s">
        <v>924</v>
      </c>
      <c r="B16" s="220" t="s">
        <v>998</v>
      </c>
      <c r="C16" s="221">
        <v>258.19264660012476</v>
      </c>
      <c r="D16" s="222" t="s">
        <v>52</v>
      </c>
      <c r="E16" s="222" t="s">
        <v>50</v>
      </c>
      <c r="F16" s="231">
        <v>486.16899999999998</v>
      </c>
      <c r="G16" s="232">
        <v>66.846922410650137</v>
      </c>
      <c r="H16" s="181">
        <v>22.014874260027693</v>
      </c>
      <c r="I16" s="181">
        <v>11.138203329322186</v>
      </c>
      <c r="J16" s="206">
        <v>79.299000000000007</v>
      </c>
      <c r="K16" s="206">
        <v>11.606999999999999</v>
      </c>
      <c r="L16" s="206">
        <v>11.273999999999999</v>
      </c>
      <c r="M16" s="206">
        <v>0.33300000000000002</v>
      </c>
      <c r="N16" s="206">
        <v>13.212999999999999</v>
      </c>
      <c r="O16" s="206">
        <v>7.0919999999999996</v>
      </c>
      <c r="P16" s="206">
        <v>6.12</v>
      </c>
      <c r="Q16" s="206">
        <v>5.0880000000000001</v>
      </c>
      <c r="R16" s="207">
        <v>0.47299999999999998</v>
      </c>
      <c r="S16" s="207">
        <v>3.8879999999999999</v>
      </c>
      <c r="T16" s="206">
        <v>133.17400000000001</v>
      </c>
      <c r="U16" s="206">
        <v>5.4880000000000004</v>
      </c>
      <c r="V16" s="206">
        <v>40.478000000000002</v>
      </c>
      <c r="W16" s="206">
        <v>0</v>
      </c>
      <c r="X16" s="206">
        <v>485.73399999999998</v>
      </c>
      <c r="Y16" s="208">
        <v>0</v>
      </c>
      <c r="Z16" s="206">
        <v>5.3209999999999997</v>
      </c>
      <c r="AA16" s="206">
        <v>22.088000000000001</v>
      </c>
      <c r="AB16" s="206">
        <v>14.827999999999999</v>
      </c>
      <c r="AC16" s="208">
        <v>0.38900000000000001</v>
      </c>
      <c r="AD16" s="207">
        <v>0.152</v>
      </c>
      <c r="AE16" s="207">
        <v>2.5139999999999998</v>
      </c>
      <c r="AF16" s="207">
        <v>0.193</v>
      </c>
      <c r="AG16" s="206">
        <v>80.415000000000006</v>
      </c>
      <c r="AH16" s="207">
        <v>0.18</v>
      </c>
      <c r="AI16" s="207">
        <v>2.5249999999999999</v>
      </c>
      <c r="AJ16" s="208">
        <v>0</v>
      </c>
      <c r="AK16" s="206">
        <v>110.358</v>
      </c>
      <c r="AL16" s="206">
        <v>79.578000000000003</v>
      </c>
      <c r="AM16" s="206">
        <v>30.78</v>
      </c>
      <c r="AN16" s="206">
        <v>195.16399999999999</v>
      </c>
      <c r="AO16" s="206">
        <v>1349.3209999999999</v>
      </c>
      <c r="AP16" s="207">
        <v>18.149999999999999</v>
      </c>
      <c r="AQ16" s="206">
        <v>441.54700000000003</v>
      </c>
      <c r="AR16" s="206">
        <v>30.052</v>
      </c>
      <c r="AS16" s="207">
        <v>4.718</v>
      </c>
      <c r="AT16" s="207">
        <v>3.7669999999999999</v>
      </c>
      <c r="AU16" s="207">
        <v>0.95099999999999996</v>
      </c>
      <c r="AV16" s="207">
        <v>2.2759999999999998</v>
      </c>
      <c r="AW16" s="206">
        <v>199.393</v>
      </c>
      <c r="AX16" s="208">
        <v>0</v>
      </c>
      <c r="AY16" s="208">
        <v>0.68400000000000005</v>
      </c>
      <c r="AZ16" s="207">
        <v>0.63</v>
      </c>
      <c r="BA16" s="207">
        <v>20.966999999999999</v>
      </c>
      <c r="BB16" s="208">
        <v>0</v>
      </c>
      <c r="BC16" s="208">
        <v>3.4000000000000002E-2</v>
      </c>
      <c r="BD16" s="209">
        <v>65.355000000000004</v>
      </c>
      <c r="BE16" s="216">
        <v>1209.492</v>
      </c>
    </row>
    <row r="17" spans="1:57" ht="22.5">
      <c r="A17" s="218" t="s">
        <v>1433</v>
      </c>
      <c r="B17" s="220" t="s">
        <v>999</v>
      </c>
      <c r="C17" s="221">
        <v>286.15124911753321</v>
      </c>
      <c r="D17" s="222" t="s">
        <v>52</v>
      </c>
      <c r="E17" s="222" t="s">
        <v>50</v>
      </c>
      <c r="F17" s="231">
        <v>1049.1179999999999</v>
      </c>
      <c r="G17" s="232">
        <v>25.860269059887365</v>
      </c>
      <c r="H17" s="181">
        <v>57.907022823857154</v>
      </c>
      <c r="I17" s="181">
        <v>16.23270811625548</v>
      </c>
      <c r="J17" s="206">
        <v>65.582999999999998</v>
      </c>
      <c r="K17" s="206">
        <v>65.269000000000005</v>
      </c>
      <c r="L17" s="206">
        <v>3.569</v>
      </c>
      <c r="M17" s="206">
        <v>61.7</v>
      </c>
      <c r="N17" s="206">
        <v>41.167000000000002</v>
      </c>
      <c r="O17" s="206">
        <v>7.734</v>
      </c>
      <c r="P17" s="206">
        <v>33.433</v>
      </c>
      <c r="Q17" s="206">
        <v>6.32</v>
      </c>
      <c r="R17" s="207">
        <v>0.23</v>
      </c>
      <c r="S17" s="207">
        <v>2.82</v>
      </c>
      <c r="T17" s="206">
        <v>229.738</v>
      </c>
      <c r="U17" s="206">
        <v>5.923</v>
      </c>
      <c r="V17" s="206">
        <v>235.03100000000001</v>
      </c>
      <c r="W17" s="206">
        <v>37.896000000000001</v>
      </c>
      <c r="X17" s="206">
        <v>2365.6179999999999</v>
      </c>
      <c r="Y17" s="208">
        <v>0</v>
      </c>
      <c r="Z17" s="206">
        <v>3.98</v>
      </c>
      <c r="AA17" s="206">
        <v>183.1</v>
      </c>
      <c r="AB17" s="206">
        <v>36.296999999999997</v>
      </c>
      <c r="AC17" s="208">
        <v>1.923</v>
      </c>
      <c r="AD17" s="207">
        <v>0.67700000000000005</v>
      </c>
      <c r="AE17" s="207">
        <v>3.5950000000000002</v>
      </c>
      <c r="AF17" s="207">
        <v>1.169</v>
      </c>
      <c r="AG17" s="206">
        <v>214.38300000000001</v>
      </c>
      <c r="AH17" s="207">
        <v>1.593</v>
      </c>
      <c r="AI17" s="207">
        <v>2.149</v>
      </c>
      <c r="AJ17" s="208">
        <v>0.66500000000000004</v>
      </c>
      <c r="AK17" s="206">
        <v>119.672</v>
      </c>
      <c r="AL17" s="206">
        <v>97.183000000000007</v>
      </c>
      <c r="AM17" s="206">
        <v>22.489000000000001</v>
      </c>
      <c r="AN17" s="206">
        <v>411.32900000000001</v>
      </c>
      <c r="AO17" s="206">
        <v>931.17899999999997</v>
      </c>
      <c r="AP17" s="207">
        <v>26.085000000000001</v>
      </c>
      <c r="AQ17" s="206">
        <v>1167.8869999999999</v>
      </c>
      <c r="AR17" s="206">
        <v>18.617000000000001</v>
      </c>
      <c r="AS17" s="207">
        <v>3.7160000000000002</v>
      </c>
      <c r="AT17" s="207">
        <v>3.5129999999999999</v>
      </c>
      <c r="AU17" s="207">
        <v>0.20399999999999999</v>
      </c>
      <c r="AV17" s="207">
        <v>5.5640000000000001</v>
      </c>
      <c r="AW17" s="206">
        <v>123.05500000000001</v>
      </c>
      <c r="AX17" s="208">
        <v>2E-3</v>
      </c>
      <c r="AY17" s="208">
        <v>0.45400000000000001</v>
      </c>
      <c r="AZ17" s="207">
        <v>2.2709999999999999</v>
      </c>
      <c r="BA17" s="207">
        <v>4.7859999999999996</v>
      </c>
      <c r="BB17" s="208">
        <v>0.3</v>
      </c>
      <c r="BC17" s="208">
        <v>0.35199999999999998</v>
      </c>
      <c r="BD17" s="209">
        <v>84.268000000000001</v>
      </c>
      <c r="BE17" s="216">
        <v>803.25300000000004</v>
      </c>
    </row>
    <row r="18" spans="1:57">
      <c r="A18" s="218" t="s">
        <v>925</v>
      </c>
      <c r="B18" s="220" t="s">
        <v>1000</v>
      </c>
      <c r="C18" s="221">
        <v>322.76572112098432</v>
      </c>
      <c r="D18" s="222"/>
      <c r="E18" s="222" t="s">
        <v>98</v>
      </c>
      <c r="F18" s="231">
        <v>322.79599999999999</v>
      </c>
      <c r="G18" s="232">
        <v>86.015544597589383</v>
      </c>
      <c r="H18" s="181">
        <v>3.0628287126774967</v>
      </c>
      <c r="I18" s="181">
        <v>10.921626689733113</v>
      </c>
      <c r="J18" s="206">
        <v>68.117000000000004</v>
      </c>
      <c r="K18" s="206">
        <v>1.0780000000000001</v>
      </c>
      <c r="L18" s="206">
        <v>0.71</v>
      </c>
      <c r="M18" s="206">
        <v>0.36799999999999999</v>
      </c>
      <c r="N18" s="206">
        <v>8.6489999999999991</v>
      </c>
      <c r="O18" s="206">
        <v>6.7610000000000001</v>
      </c>
      <c r="P18" s="206">
        <v>1.8879999999999999</v>
      </c>
      <c r="Q18" s="206">
        <v>5.8730000000000002</v>
      </c>
      <c r="R18" s="207">
        <v>0.42799999999999999</v>
      </c>
      <c r="S18" s="207">
        <v>4.5279999999999996</v>
      </c>
      <c r="T18" s="206">
        <v>153.91399999999999</v>
      </c>
      <c r="U18" s="206">
        <v>2.9319999999999999</v>
      </c>
      <c r="V18" s="206">
        <v>134.99299999999999</v>
      </c>
      <c r="W18" s="206">
        <v>0</v>
      </c>
      <c r="X18" s="206">
        <v>1619.9169999999999</v>
      </c>
      <c r="Y18" s="208">
        <v>0</v>
      </c>
      <c r="Z18" s="206">
        <v>0.54600000000000004</v>
      </c>
      <c r="AA18" s="206">
        <v>19.004999999999999</v>
      </c>
      <c r="AB18" s="206">
        <v>9.1129999999999995</v>
      </c>
      <c r="AC18" s="208">
        <v>0.115</v>
      </c>
      <c r="AD18" s="207">
        <v>6.2E-2</v>
      </c>
      <c r="AE18" s="207">
        <v>0.93799999999999994</v>
      </c>
      <c r="AF18" s="207">
        <v>0.443</v>
      </c>
      <c r="AG18" s="206">
        <v>75.655000000000001</v>
      </c>
      <c r="AH18" s="207">
        <v>4.8000000000000001E-2</v>
      </c>
      <c r="AI18" s="207">
        <v>0.159</v>
      </c>
      <c r="AJ18" s="208">
        <v>0</v>
      </c>
      <c r="AK18" s="206">
        <v>59.597000000000001</v>
      </c>
      <c r="AL18" s="206">
        <v>50.317</v>
      </c>
      <c r="AM18" s="206">
        <v>9.2799999999999994</v>
      </c>
      <c r="AN18" s="206">
        <v>112.248</v>
      </c>
      <c r="AO18" s="206">
        <v>834.11099999999999</v>
      </c>
      <c r="AP18" s="207">
        <v>0</v>
      </c>
      <c r="AQ18" s="206">
        <v>321.666</v>
      </c>
      <c r="AR18" s="206">
        <v>16.341999999999999</v>
      </c>
      <c r="AS18" s="207">
        <v>2.6760000000000002</v>
      </c>
      <c r="AT18" s="207">
        <v>2.532</v>
      </c>
      <c r="AU18" s="207">
        <v>0.14399999999999999</v>
      </c>
      <c r="AV18" s="207">
        <v>1.2849999999999999</v>
      </c>
      <c r="AW18" s="206">
        <v>49.802999999999997</v>
      </c>
      <c r="AX18" s="208">
        <v>0</v>
      </c>
      <c r="AY18" s="208">
        <v>0.28499999999999998</v>
      </c>
      <c r="AZ18" s="207">
        <v>0</v>
      </c>
      <c r="BA18" s="207">
        <v>1.675</v>
      </c>
      <c r="BB18" s="208">
        <v>7.1999999999999995E-2</v>
      </c>
      <c r="BC18" s="208">
        <v>1.583</v>
      </c>
      <c r="BD18" s="209">
        <v>2.2400000000000002</v>
      </c>
      <c r="BE18" s="216">
        <v>443.48399999999998</v>
      </c>
    </row>
    <row r="19" spans="1:57" ht="22.5">
      <c r="A19" s="218" t="s">
        <v>926</v>
      </c>
      <c r="B19" s="220" t="s">
        <v>1434</v>
      </c>
      <c r="C19" s="221">
        <v>275.11842433308396</v>
      </c>
      <c r="D19" s="222" t="s">
        <v>107</v>
      </c>
      <c r="E19" s="222" t="s">
        <v>108</v>
      </c>
      <c r="F19" s="231">
        <v>1364.347</v>
      </c>
      <c r="G19" s="232">
        <v>48.398929166109873</v>
      </c>
      <c r="H19" s="181">
        <v>41.332356390094631</v>
      </c>
      <c r="I19" s="181">
        <v>10.268714443795481</v>
      </c>
      <c r="J19" s="206">
        <v>161.17400000000001</v>
      </c>
      <c r="K19" s="206">
        <v>61.173999999999999</v>
      </c>
      <c r="L19" s="206">
        <v>42.054000000000002</v>
      </c>
      <c r="M19" s="206">
        <v>19.12</v>
      </c>
      <c r="N19" s="206">
        <v>34.195999999999998</v>
      </c>
      <c r="O19" s="206">
        <v>17.276</v>
      </c>
      <c r="P19" s="206">
        <v>16.920000000000002</v>
      </c>
      <c r="Q19" s="206">
        <v>9.9730000000000008</v>
      </c>
      <c r="R19" s="207">
        <v>1.4730000000000001</v>
      </c>
      <c r="S19" s="207">
        <v>8.0670000000000002</v>
      </c>
      <c r="T19" s="206">
        <v>536.096</v>
      </c>
      <c r="U19" s="206">
        <v>8.5419999999999998</v>
      </c>
      <c r="V19" s="206">
        <v>138.40799999999999</v>
      </c>
      <c r="W19" s="206">
        <v>61.4</v>
      </c>
      <c r="X19" s="206">
        <v>924.1</v>
      </c>
      <c r="Y19" s="208">
        <v>0.3</v>
      </c>
      <c r="Z19" s="206">
        <v>42.906999999999996</v>
      </c>
      <c r="AA19" s="206">
        <v>86.745000000000005</v>
      </c>
      <c r="AB19" s="206">
        <v>33.942999999999998</v>
      </c>
      <c r="AC19" s="208">
        <v>1.377</v>
      </c>
      <c r="AD19" s="207">
        <v>0.57799999999999996</v>
      </c>
      <c r="AE19" s="207">
        <v>6.5839999999999996</v>
      </c>
      <c r="AF19" s="207">
        <v>0.60399999999999998</v>
      </c>
      <c r="AG19" s="206">
        <v>168.19</v>
      </c>
      <c r="AH19" s="207">
        <v>0.94699999999999995</v>
      </c>
      <c r="AI19" s="207">
        <v>1.052</v>
      </c>
      <c r="AJ19" s="208">
        <v>0</v>
      </c>
      <c r="AK19" s="206">
        <v>102.193</v>
      </c>
      <c r="AL19" s="206">
        <v>88.093000000000004</v>
      </c>
      <c r="AM19" s="206">
        <v>14.1</v>
      </c>
      <c r="AN19" s="206">
        <v>438.83199999999999</v>
      </c>
      <c r="AO19" s="206">
        <v>1766.799</v>
      </c>
      <c r="AP19" s="207">
        <v>16.093</v>
      </c>
      <c r="AQ19" s="206">
        <v>1142.2239999999999</v>
      </c>
      <c r="AR19" s="206">
        <v>52.527000000000001</v>
      </c>
      <c r="AS19" s="207">
        <v>6.63</v>
      </c>
      <c r="AT19" s="207">
        <v>5.73</v>
      </c>
      <c r="AU19" s="207">
        <v>0.9</v>
      </c>
      <c r="AV19" s="207">
        <v>3.9750000000000001</v>
      </c>
      <c r="AW19" s="206">
        <v>185.92099999999999</v>
      </c>
      <c r="AX19" s="208">
        <v>1E-3</v>
      </c>
      <c r="AY19" s="208">
        <v>0.64200000000000002</v>
      </c>
      <c r="AZ19" s="207">
        <v>38.79</v>
      </c>
      <c r="BA19" s="207">
        <v>32.871000000000002</v>
      </c>
      <c r="BB19" s="208">
        <v>0</v>
      </c>
      <c r="BC19" s="208">
        <v>4.0780000000000003</v>
      </c>
      <c r="BD19" s="209">
        <v>82.54</v>
      </c>
      <c r="BE19" s="216">
        <v>1193.4590000000001</v>
      </c>
    </row>
    <row r="20" spans="1:57">
      <c r="A20" s="218" t="s">
        <v>927</v>
      </c>
      <c r="B20" s="220" t="s">
        <v>1001</v>
      </c>
      <c r="C20" s="221">
        <v>330.76923076923077</v>
      </c>
      <c r="D20" s="222" t="s">
        <v>52</v>
      </c>
      <c r="E20" s="222" t="s">
        <v>53</v>
      </c>
      <c r="F20" s="231">
        <v>498.14</v>
      </c>
      <c r="G20" s="232">
        <v>69.678695253863367</v>
      </c>
      <c r="H20" s="181">
        <v>6.2164896412612878</v>
      </c>
      <c r="I20" s="181">
        <v>24.104815104875346</v>
      </c>
      <c r="J20" s="206">
        <v>83.855000000000004</v>
      </c>
      <c r="K20" s="206">
        <v>3.3250000000000002</v>
      </c>
      <c r="L20" s="206">
        <v>1.4650000000000001</v>
      </c>
      <c r="M20" s="206">
        <v>1.86</v>
      </c>
      <c r="N20" s="206">
        <v>29.009</v>
      </c>
      <c r="O20" s="206">
        <v>7.6289999999999996</v>
      </c>
      <c r="P20" s="206">
        <v>21.38</v>
      </c>
      <c r="Q20" s="206">
        <v>2.5499999999999998</v>
      </c>
      <c r="R20" s="207">
        <v>0.49399999999999999</v>
      </c>
      <c r="S20" s="207">
        <v>2.056</v>
      </c>
      <c r="T20" s="206">
        <v>119.858</v>
      </c>
      <c r="U20" s="206">
        <v>5.9530000000000003</v>
      </c>
      <c r="V20" s="206">
        <v>12.5</v>
      </c>
      <c r="W20" s="206">
        <v>12.2</v>
      </c>
      <c r="X20" s="206">
        <v>3.6</v>
      </c>
      <c r="Y20" s="208">
        <v>20</v>
      </c>
      <c r="Z20" s="206">
        <v>1.5589999999999999</v>
      </c>
      <c r="AA20" s="206">
        <v>2.2999999999999998</v>
      </c>
      <c r="AB20" s="206">
        <v>1.2</v>
      </c>
      <c r="AC20" s="208">
        <v>0.26600000000000001</v>
      </c>
      <c r="AD20" s="207">
        <v>0.20599999999999999</v>
      </c>
      <c r="AE20" s="207">
        <v>8.8740000000000006</v>
      </c>
      <c r="AF20" s="207">
        <v>0.68500000000000005</v>
      </c>
      <c r="AG20" s="206">
        <v>38.25</v>
      </c>
      <c r="AH20" s="207">
        <v>2.984</v>
      </c>
      <c r="AI20" s="207">
        <v>1.627</v>
      </c>
      <c r="AJ20" s="208">
        <v>0</v>
      </c>
      <c r="AK20" s="206">
        <v>64</v>
      </c>
      <c r="AL20" s="206">
        <v>42.2</v>
      </c>
      <c r="AM20" s="206">
        <v>21.8</v>
      </c>
      <c r="AN20" s="206">
        <v>357.65</v>
      </c>
      <c r="AO20" s="206">
        <v>1551.6</v>
      </c>
      <c r="AP20" s="207">
        <v>0</v>
      </c>
      <c r="AQ20" s="206">
        <v>351.85</v>
      </c>
      <c r="AR20" s="206">
        <v>12</v>
      </c>
      <c r="AS20" s="207">
        <v>3.4159999999999999</v>
      </c>
      <c r="AT20" s="207">
        <v>2.4159999999999999</v>
      </c>
      <c r="AU20" s="207">
        <v>1</v>
      </c>
      <c r="AV20" s="207">
        <v>2.0979999999999999</v>
      </c>
      <c r="AW20" s="206">
        <v>88.5</v>
      </c>
      <c r="AX20" s="208">
        <v>0</v>
      </c>
      <c r="AY20" s="208">
        <v>0.254</v>
      </c>
      <c r="AZ20" s="207">
        <v>34.4</v>
      </c>
      <c r="BA20" s="207">
        <v>22</v>
      </c>
      <c r="BB20" s="208">
        <v>0</v>
      </c>
      <c r="BC20" s="208">
        <v>0</v>
      </c>
      <c r="BD20" s="209">
        <v>61</v>
      </c>
      <c r="BE20" s="216">
        <v>808.9</v>
      </c>
    </row>
    <row r="21" spans="1:57">
      <c r="A21" s="218" t="s">
        <v>928</v>
      </c>
      <c r="B21" s="220" t="s">
        <v>1435</v>
      </c>
      <c r="C21" s="221">
        <v>349.99999999999994</v>
      </c>
      <c r="D21" s="222"/>
      <c r="E21" s="222" t="s">
        <v>98</v>
      </c>
      <c r="F21" s="231">
        <v>274.35000000000002</v>
      </c>
      <c r="G21" s="232">
        <v>29.15600094402992</v>
      </c>
      <c r="H21" s="181">
        <v>43.249278361745006</v>
      </c>
      <c r="I21" s="181">
        <v>27.594720694225082</v>
      </c>
      <c r="J21" s="206">
        <v>20.074999999999999</v>
      </c>
      <c r="K21" s="206">
        <v>13.234999999999999</v>
      </c>
      <c r="L21" s="206">
        <v>0.51500000000000001</v>
      </c>
      <c r="M21" s="206">
        <v>12.72</v>
      </c>
      <c r="N21" s="206">
        <v>19</v>
      </c>
      <c r="O21" s="206">
        <v>5</v>
      </c>
      <c r="P21" s="206">
        <v>14</v>
      </c>
      <c r="Q21" s="206">
        <v>5.9249999999999998</v>
      </c>
      <c r="R21" s="207">
        <v>0.46</v>
      </c>
      <c r="S21" s="207">
        <v>2.395</v>
      </c>
      <c r="T21" s="206">
        <v>269.22199999999998</v>
      </c>
      <c r="U21" s="206">
        <v>4.1680000000000001</v>
      </c>
      <c r="V21" s="206">
        <v>125.667</v>
      </c>
      <c r="W21" s="206">
        <v>4.8</v>
      </c>
      <c r="X21" s="206">
        <v>1450.4</v>
      </c>
      <c r="Y21" s="208">
        <v>1.26</v>
      </c>
      <c r="Z21" s="206">
        <v>0.88</v>
      </c>
      <c r="AA21" s="206">
        <v>25.06</v>
      </c>
      <c r="AB21" s="206">
        <v>40.6</v>
      </c>
      <c r="AC21" s="208">
        <v>0.42299999999999999</v>
      </c>
      <c r="AD21" s="207">
        <v>0.41</v>
      </c>
      <c r="AE21" s="207">
        <v>5.165</v>
      </c>
      <c r="AF21" s="207">
        <v>0.52</v>
      </c>
      <c r="AG21" s="206">
        <v>187.72</v>
      </c>
      <c r="AH21" s="207">
        <v>0</v>
      </c>
      <c r="AI21" s="207">
        <v>0.08</v>
      </c>
      <c r="AJ21" s="208">
        <v>0</v>
      </c>
      <c r="AK21" s="206">
        <v>101.38</v>
      </c>
      <c r="AL21" s="206">
        <v>89.38</v>
      </c>
      <c r="AM21" s="206">
        <v>12</v>
      </c>
      <c r="AN21" s="206">
        <v>236.15</v>
      </c>
      <c r="AO21" s="206">
        <v>819.779</v>
      </c>
      <c r="AP21" s="207">
        <v>4.2350000000000003</v>
      </c>
      <c r="AQ21" s="206">
        <v>844.19500000000005</v>
      </c>
      <c r="AR21" s="206">
        <v>38.331000000000003</v>
      </c>
      <c r="AS21" s="207">
        <v>2.9510000000000001</v>
      </c>
      <c r="AT21" s="207">
        <v>1.671</v>
      </c>
      <c r="AU21" s="207">
        <v>1.28</v>
      </c>
      <c r="AV21" s="207">
        <v>5.7169999999999996</v>
      </c>
      <c r="AW21" s="206">
        <v>105.748</v>
      </c>
      <c r="AX21" s="208">
        <v>1.7999999999999999E-2</v>
      </c>
      <c r="AY21" s="208">
        <v>0.27500000000000002</v>
      </c>
      <c r="AZ21" s="207">
        <v>0</v>
      </c>
      <c r="BA21" s="207">
        <v>8.6010000000000009</v>
      </c>
      <c r="BB21" s="208">
        <v>0</v>
      </c>
      <c r="BC21" s="208">
        <v>0</v>
      </c>
      <c r="BD21" s="209">
        <v>51.2</v>
      </c>
      <c r="BE21" s="216">
        <v>528.07899999999995</v>
      </c>
    </row>
    <row r="22" spans="1:57">
      <c r="A22" s="218" t="s">
        <v>929</v>
      </c>
      <c r="B22" s="220" t="s">
        <v>1002</v>
      </c>
      <c r="C22" s="221">
        <v>298.29147096800421</v>
      </c>
      <c r="D22" s="222" t="s">
        <v>52</v>
      </c>
      <c r="E22" s="222" t="s">
        <v>50</v>
      </c>
      <c r="F22" s="231">
        <v>506.45299999999997</v>
      </c>
      <c r="G22" s="232">
        <v>75.424074204202086</v>
      </c>
      <c r="H22" s="181">
        <v>11.219169418874287</v>
      </c>
      <c r="I22" s="181">
        <v>13.356756376923617</v>
      </c>
      <c r="J22" s="206">
        <v>93.918999999999997</v>
      </c>
      <c r="K22" s="206">
        <v>6.2089999999999996</v>
      </c>
      <c r="L22" s="206">
        <v>1.581</v>
      </c>
      <c r="M22" s="206">
        <v>4.6280000000000001</v>
      </c>
      <c r="N22" s="206">
        <v>16.632000000000001</v>
      </c>
      <c r="O22" s="206">
        <v>9.6869999999999994</v>
      </c>
      <c r="P22" s="206">
        <v>6.9450000000000003</v>
      </c>
      <c r="Q22" s="206">
        <v>7.3890000000000002</v>
      </c>
      <c r="R22" s="207">
        <v>1.0660000000000001</v>
      </c>
      <c r="S22" s="207">
        <v>6.1689999999999996</v>
      </c>
      <c r="T22" s="206">
        <v>204.84700000000001</v>
      </c>
      <c r="U22" s="206">
        <v>6.4139999999999997</v>
      </c>
      <c r="V22" s="206">
        <v>354.483</v>
      </c>
      <c r="W22" s="206">
        <v>4.5</v>
      </c>
      <c r="X22" s="206">
        <v>4199.79</v>
      </c>
      <c r="Y22" s="208">
        <v>0</v>
      </c>
      <c r="Z22" s="206">
        <v>2.4220000000000002</v>
      </c>
      <c r="AA22" s="206">
        <v>116.676</v>
      </c>
      <c r="AB22" s="206">
        <v>19.308</v>
      </c>
      <c r="AC22" s="208">
        <v>0.31900000000000001</v>
      </c>
      <c r="AD22" s="207">
        <v>0.20799999999999999</v>
      </c>
      <c r="AE22" s="207">
        <v>3.089</v>
      </c>
      <c r="AF22" s="207">
        <v>0.436</v>
      </c>
      <c r="AG22" s="206">
        <v>130.29300000000001</v>
      </c>
      <c r="AH22" s="207">
        <v>13.212999999999999</v>
      </c>
      <c r="AI22" s="207">
        <v>2.5009999999999999</v>
      </c>
      <c r="AJ22" s="208">
        <v>0</v>
      </c>
      <c r="AK22" s="206">
        <v>115.824</v>
      </c>
      <c r="AL22" s="206">
        <v>89.394000000000005</v>
      </c>
      <c r="AM22" s="206">
        <v>26.43</v>
      </c>
      <c r="AN22" s="206">
        <v>219.714</v>
      </c>
      <c r="AO22" s="206">
        <v>1554.3009999999999</v>
      </c>
      <c r="AP22" s="207">
        <v>13.31</v>
      </c>
      <c r="AQ22" s="206">
        <v>640.673</v>
      </c>
      <c r="AR22" s="206">
        <v>14.86</v>
      </c>
      <c r="AS22" s="207">
        <v>11.147</v>
      </c>
      <c r="AT22" s="207">
        <v>5.391</v>
      </c>
      <c r="AU22" s="207">
        <v>5.7560000000000002</v>
      </c>
      <c r="AV22" s="207">
        <v>3.552</v>
      </c>
      <c r="AW22" s="206">
        <v>100.185</v>
      </c>
      <c r="AX22" s="208">
        <v>0</v>
      </c>
      <c r="AY22" s="208">
        <v>0.65900000000000003</v>
      </c>
      <c r="AZ22" s="207">
        <v>3.64</v>
      </c>
      <c r="BA22" s="207">
        <v>6.92</v>
      </c>
      <c r="BB22" s="208">
        <v>0</v>
      </c>
      <c r="BC22" s="208">
        <v>1.3340000000000001</v>
      </c>
      <c r="BD22" s="209">
        <v>66.555000000000007</v>
      </c>
      <c r="BE22" s="216">
        <v>1371.0940000000001</v>
      </c>
    </row>
    <row r="23" spans="1:57" ht="22.5">
      <c r="A23" s="218" t="s">
        <v>930</v>
      </c>
      <c r="B23" s="220" t="s">
        <v>1436</v>
      </c>
      <c r="C23" s="221">
        <v>199.56598219872558</v>
      </c>
      <c r="D23" s="222" t="s">
        <v>52</v>
      </c>
      <c r="E23" s="222" t="s">
        <v>51</v>
      </c>
      <c r="F23" s="231">
        <v>469.65499999999997</v>
      </c>
      <c r="G23" s="232">
        <v>46.349696822188598</v>
      </c>
      <c r="H23" s="181">
        <v>36.295622175896042</v>
      </c>
      <c r="I23" s="181">
        <v>17.354681001915363</v>
      </c>
      <c r="J23" s="206">
        <v>54.75</v>
      </c>
      <c r="K23" s="206">
        <v>19.055</v>
      </c>
      <c r="L23" s="206">
        <v>12.215</v>
      </c>
      <c r="M23" s="206">
        <v>6.84</v>
      </c>
      <c r="N23" s="206">
        <v>20.5</v>
      </c>
      <c r="O23" s="206">
        <v>9.9</v>
      </c>
      <c r="P23" s="206">
        <v>10.6</v>
      </c>
      <c r="Q23" s="206">
        <v>4.4580000000000002</v>
      </c>
      <c r="R23" s="207">
        <v>0.27500000000000002</v>
      </c>
      <c r="S23" s="207">
        <v>1.63</v>
      </c>
      <c r="T23" s="206">
        <v>232.30099999999999</v>
      </c>
      <c r="U23" s="206">
        <v>5.0940000000000003</v>
      </c>
      <c r="V23" s="206">
        <v>198.929</v>
      </c>
      <c r="W23" s="206">
        <v>0</v>
      </c>
      <c r="X23" s="206">
        <v>2387.15</v>
      </c>
      <c r="Y23" s="208">
        <v>0</v>
      </c>
      <c r="Z23" s="206">
        <v>2.363</v>
      </c>
      <c r="AA23" s="206">
        <v>139.97999999999999</v>
      </c>
      <c r="AB23" s="206">
        <v>35.270000000000003</v>
      </c>
      <c r="AC23" s="208">
        <v>0.55900000000000005</v>
      </c>
      <c r="AD23" s="207">
        <v>0.246</v>
      </c>
      <c r="AE23" s="207">
        <v>5.2549999999999999</v>
      </c>
      <c r="AF23" s="207">
        <v>0.54700000000000004</v>
      </c>
      <c r="AG23" s="206">
        <v>150.63</v>
      </c>
      <c r="AH23" s="207">
        <v>0.82399999999999995</v>
      </c>
      <c r="AI23" s="207">
        <v>1.5589999999999999</v>
      </c>
      <c r="AJ23" s="208">
        <v>1.33</v>
      </c>
      <c r="AK23" s="206">
        <v>88.66</v>
      </c>
      <c r="AL23" s="206">
        <v>81.06</v>
      </c>
      <c r="AM23" s="206">
        <v>7.6</v>
      </c>
      <c r="AN23" s="206">
        <v>280.32499999999999</v>
      </c>
      <c r="AO23" s="206">
        <v>925.35</v>
      </c>
      <c r="AP23" s="207">
        <v>41.715000000000003</v>
      </c>
      <c r="AQ23" s="206">
        <v>1142.6600000000001</v>
      </c>
      <c r="AR23" s="206">
        <v>30.57</v>
      </c>
      <c r="AS23" s="207">
        <v>3.5950000000000002</v>
      </c>
      <c r="AT23" s="207">
        <v>2.915</v>
      </c>
      <c r="AU23" s="207">
        <v>0.68</v>
      </c>
      <c r="AV23" s="207">
        <v>3.4969999999999999</v>
      </c>
      <c r="AW23" s="206">
        <v>335.84</v>
      </c>
      <c r="AX23" s="208">
        <v>1.2E-2</v>
      </c>
      <c r="AY23" s="208">
        <v>0.375</v>
      </c>
      <c r="AZ23" s="207">
        <v>0</v>
      </c>
      <c r="BA23" s="207">
        <v>22.52</v>
      </c>
      <c r="BB23" s="208">
        <v>0</v>
      </c>
      <c r="BC23" s="208">
        <v>0</v>
      </c>
      <c r="BD23" s="209">
        <v>35.15</v>
      </c>
      <c r="BE23" s="216">
        <v>834</v>
      </c>
    </row>
    <row r="24" spans="1:57">
      <c r="A24" s="218" t="s">
        <v>931</v>
      </c>
      <c r="B24" s="220" t="s">
        <v>1003</v>
      </c>
      <c r="C24" s="221">
        <v>314.28571428571422</v>
      </c>
      <c r="D24" s="222"/>
      <c r="E24" s="222" t="s">
        <v>98</v>
      </c>
      <c r="F24" s="231">
        <v>638.55999999999995</v>
      </c>
      <c r="G24" s="232">
        <v>47.595583595236285</v>
      </c>
      <c r="H24" s="181">
        <v>39.377851925471234</v>
      </c>
      <c r="I24" s="181">
        <v>13.026564479292485</v>
      </c>
      <c r="J24" s="206">
        <v>76.742999999999995</v>
      </c>
      <c r="K24" s="206">
        <v>28.219000000000001</v>
      </c>
      <c r="L24" s="206">
        <v>20.173999999999999</v>
      </c>
      <c r="M24" s="206">
        <v>8.0449999999999999</v>
      </c>
      <c r="N24" s="206">
        <v>21.004000000000001</v>
      </c>
      <c r="O24" s="206">
        <v>8.6140000000000008</v>
      </c>
      <c r="P24" s="206">
        <v>12.39</v>
      </c>
      <c r="Q24" s="206">
        <v>4.78</v>
      </c>
      <c r="R24" s="207">
        <v>1.7849999999999999</v>
      </c>
      <c r="S24" s="207">
        <v>2.2149999999999999</v>
      </c>
      <c r="T24" s="206">
        <v>355.55200000000002</v>
      </c>
      <c r="U24" s="206">
        <v>4.242</v>
      </c>
      <c r="V24" s="206">
        <v>66.337000000000003</v>
      </c>
      <c r="W24" s="206">
        <v>50.89</v>
      </c>
      <c r="X24" s="206">
        <v>185.36</v>
      </c>
      <c r="Y24" s="208">
        <v>0.99</v>
      </c>
      <c r="Z24" s="206">
        <v>7.0129999999999999</v>
      </c>
      <c r="AA24" s="206">
        <v>35.712000000000003</v>
      </c>
      <c r="AB24" s="206">
        <v>99.5</v>
      </c>
      <c r="AC24" s="208">
        <v>0.61499999999999999</v>
      </c>
      <c r="AD24" s="207">
        <v>0.61599999999999999</v>
      </c>
      <c r="AE24" s="207">
        <v>5.3159999999999998</v>
      </c>
      <c r="AF24" s="207">
        <v>0.36799999999999999</v>
      </c>
      <c r="AG24" s="206">
        <v>219.67699999999999</v>
      </c>
      <c r="AH24" s="207">
        <v>1.0469999999999999</v>
      </c>
      <c r="AI24" s="207">
        <v>1.3240000000000001</v>
      </c>
      <c r="AJ24" s="208">
        <v>3.2000000000000001E-2</v>
      </c>
      <c r="AK24" s="206">
        <v>78.56</v>
      </c>
      <c r="AL24" s="206">
        <v>47.56</v>
      </c>
      <c r="AM24" s="206">
        <v>31</v>
      </c>
      <c r="AN24" s="206">
        <v>352.73</v>
      </c>
      <c r="AO24" s="206">
        <v>904.71</v>
      </c>
      <c r="AP24" s="207">
        <v>0</v>
      </c>
      <c r="AQ24" s="206">
        <v>945.76</v>
      </c>
      <c r="AR24" s="206">
        <v>19.579999999999998</v>
      </c>
      <c r="AS24" s="207">
        <v>2.843</v>
      </c>
      <c r="AT24" s="207">
        <v>1.548</v>
      </c>
      <c r="AU24" s="207">
        <v>1.2949999999999999</v>
      </c>
      <c r="AV24" s="207">
        <v>1.2969999999999999</v>
      </c>
      <c r="AW24" s="206">
        <v>281.02</v>
      </c>
      <c r="AX24" s="208">
        <v>7.0000000000000001E-3</v>
      </c>
      <c r="AY24" s="208">
        <v>0.18</v>
      </c>
      <c r="AZ24" s="207">
        <v>16.11</v>
      </c>
      <c r="BA24" s="207">
        <v>24.187000000000001</v>
      </c>
      <c r="BB24" s="208">
        <v>0</v>
      </c>
      <c r="BC24" s="208">
        <v>0</v>
      </c>
      <c r="BD24" s="209">
        <v>257.89999999999998</v>
      </c>
      <c r="BE24" s="216">
        <v>381</v>
      </c>
    </row>
    <row r="25" spans="1:57">
      <c r="A25" s="218" t="s">
        <v>932</v>
      </c>
      <c r="B25" s="220" t="s">
        <v>1004</v>
      </c>
      <c r="C25" s="221">
        <v>301.45868399096508</v>
      </c>
      <c r="D25" s="222" t="s">
        <v>52</v>
      </c>
      <c r="E25" s="222" t="s">
        <v>53</v>
      </c>
      <c r="F25" s="231">
        <v>480.30900000000003</v>
      </c>
      <c r="G25" s="232">
        <v>74.950871551438112</v>
      </c>
      <c r="H25" s="181">
        <v>6.50792435494985</v>
      </c>
      <c r="I25" s="181">
        <v>18.541204093612027</v>
      </c>
      <c r="J25" s="206">
        <v>88.103999999999999</v>
      </c>
      <c r="K25" s="206">
        <v>3.4</v>
      </c>
      <c r="L25" s="206">
        <v>0.55400000000000005</v>
      </c>
      <c r="M25" s="206">
        <v>2.8460000000000001</v>
      </c>
      <c r="N25" s="206">
        <v>21.795000000000002</v>
      </c>
      <c r="O25" s="206">
        <v>13.944000000000001</v>
      </c>
      <c r="P25" s="206">
        <v>7.851</v>
      </c>
      <c r="Q25" s="206">
        <v>3.6139999999999999</v>
      </c>
      <c r="R25" s="207">
        <v>0.33800000000000002</v>
      </c>
      <c r="S25" s="207">
        <v>1.7030000000000001</v>
      </c>
      <c r="T25" s="206">
        <v>194.2</v>
      </c>
      <c r="U25" s="206">
        <v>6.5919999999999996</v>
      </c>
      <c r="V25" s="206">
        <v>85.171999999999997</v>
      </c>
      <c r="W25" s="206">
        <v>20.196000000000002</v>
      </c>
      <c r="X25" s="206">
        <v>779.71500000000003</v>
      </c>
      <c r="Y25" s="208">
        <v>0.36</v>
      </c>
      <c r="Z25" s="206">
        <v>2.714</v>
      </c>
      <c r="AA25" s="206">
        <v>55.442999999999998</v>
      </c>
      <c r="AB25" s="206">
        <v>23.707000000000001</v>
      </c>
      <c r="AC25" s="208">
        <v>0.55600000000000005</v>
      </c>
      <c r="AD25" s="207">
        <v>0.35899999999999999</v>
      </c>
      <c r="AE25" s="207">
        <v>3.1890000000000001</v>
      </c>
      <c r="AF25" s="207">
        <v>0.28999999999999998</v>
      </c>
      <c r="AG25" s="206">
        <v>216.327</v>
      </c>
      <c r="AH25" s="207">
        <v>5.7539999999999996</v>
      </c>
      <c r="AI25" s="207">
        <v>0.628</v>
      </c>
      <c r="AJ25" s="208">
        <v>0</v>
      </c>
      <c r="AK25" s="206">
        <v>142.113</v>
      </c>
      <c r="AL25" s="206">
        <v>79.524000000000001</v>
      </c>
      <c r="AM25" s="206">
        <v>62.588999999999999</v>
      </c>
      <c r="AN25" s="206">
        <v>300.74599999999998</v>
      </c>
      <c r="AO25" s="206">
        <v>3557.1089999999999</v>
      </c>
      <c r="AP25" s="207">
        <v>5.4450000000000003</v>
      </c>
      <c r="AQ25" s="206">
        <v>765.86</v>
      </c>
      <c r="AR25" s="206">
        <v>74.213999999999999</v>
      </c>
      <c r="AS25" s="207">
        <v>4.6120000000000001</v>
      </c>
      <c r="AT25" s="207">
        <v>3.3239999999999998</v>
      </c>
      <c r="AU25" s="207">
        <v>1.288</v>
      </c>
      <c r="AV25" s="207">
        <v>3.4159999999999999</v>
      </c>
      <c r="AW25" s="206">
        <v>475.35</v>
      </c>
      <c r="AX25" s="208">
        <v>0</v>
      </c>
      <c r="AY25" s="208">
        <v>1.048</v>
      </c>
      <c r="AZ25" s="207">
        <v>7.399</v>
      </c>
      <c r="BA25" s="207">
        <v>23.707000000000001</v>
      </c>
      <c r="BB25" s="208">
        <v>0</v>
      </c>
      <c r="BC25" s="208">
        <v>6.6000000000000003E-2</v>
      </c>
      <c r="BD25" s="209">
        <v>103.188</v>
      </c>
      <c r="BE25" s="216">
        <v>1130.9670000000001</v>
      </c>
    </row>
    <row r="26" spans="1:57">
      <c r="A26" s="218" t="s">
        <v>933</v>
      </c>
      <c r="B26" s="220" t="s">
        <v>1437</v>
      </c>
      <c r="C26" s="221">
        <v>269.91568002665753</v>
      </c>
      <c r="D26" s="222" t="s">
        <v>52</v>
      </c>
      <c r="E26" s="222" t="s">
        <v>50</v>
      </c>
      <c r="F26" s="231">
        <v>721.70899999999995</v>
      </c>
      <c r="G26" s="232">
        <v>45.58476605906673</v>
      </c>
      <c r="H26" s="181">
        <v>39.515346442399938</v>
      </c>
      <c r="I26" s="181">
        <v>14.89988749853334</v>
      </c>
      <c r="J26" s="206">
        <v>82.558000000000007</v>
      </c>
      <c r="K26" s="206">
        <v>31.806999999999999</v>
      </c>
      <c r="L26" s="206">
        <v>16.248000000000001</v>
      </c>
      <c r="M26" s="206">
        <v>15.558999999999999</v>
      </c>
      <c r="N26" s="206">
        <v>26.984999999999999</v>
      </c>
      <c r="O26" s="206">
        <v>12.128</v>
      </c>
      <c r="P26" s="206">
        <v>14.858000000000001</v>
      </c>
      <c r="Q26" s="206">
        <v>9.6120000000000001</v>
      </c>
      <c r="R26" s="207">
        <v>0.63800000000000001</v>
      </c>
      <c r="S26" s="207">
        <v>5.5880000000000001</v>
      </c>
      <c r="T26" s="206">
        <v>246.404</v>
      </c>
      <c r="U26" s="206">
        <v>8.7460000000000004</v>
      </c>
      <c r="V26" s="206">
        <v>141.73099999999999</v>
      </c>
      <c r="W26" s="206">
        <v>6.8259999999999996</v>
      </c>
      <c r="X26" s="206">
        <v>1618.8630000000001</v>
      </c>
      <c r="Y26" s="208">
        <v>0.93</v>
      </c>
      <c r="Z26" s="206">
        <v>4.6319999999999997</v>
      </c>
      <c r="AA26" s="206">
        <v>31.460999999999999</v>
      </c>
      <c r="AB26" s="206">
        <v>19.928000000000001</v>
      </c>
      <c r="AC26" s="208">
        <v>0.96699999999999997</v>
      </c>
      <c r="AD26" s="207">
        <v>0.59699999999999998</v>
      </c>
      <c r="AE26" s="207">
        <v>6.25</v>
      </c>
      <c r="AF26" s="207">
        <v>0.45900000000000002</v>
      </c>
      <c r="AG26" s="206">
        <v>213.03200000000001</v>
      </c>
      <c r="AH26" s="207">
        <v>0.69699999999999995</v>
      </c>
      <c r="AI26" s="207">
        <v>1.335</v>
      </c>
      <c r="AJ26" s="208">
        <v>2.5999999999999999E-2</v>
      </c>
      <c r="AK26" s="206">
        <v>113.654</v>
      </c>
      <c r="AL26" s="206">
        <v>90.534999999999997</v>
      </c>
      <c r="AM26" s="206">
        <v>23.119</v>
      </c>
      <c r="AN26" s="206">
        <v>360.64400000000001</v>
      </c>
      <c r="AO26" s="206">
        <v>1761.3620000000001</v>
      </c>
      <c r="AP26" s="207">
        <v>10.89</v>
      </c>
      <c r="AQ26" s="206">
        <v>919.86099999999999</v>
      </c>
      <c r="AR26" s="206">
        <v>24.452999999999999</v>
      </c>
      <c r="AS26" s="207">
        <v>4.7510000000000003</v>
      </c>
      <c r="AT26" s="207">
        <v>3.3839999999999999</v>
      </c>
      <c r="AU26" s="207">
        <v>1.367</v>
      </c>
      <c r="AV26" s="207">
        <v>3.3690000000000002</v>
      </c>
      <c r="AW26" s="206">
        <v>216.267</v>
      </c>
      <c r="AX26" s="208">
        <v>3.4000000000000002E-2</v>
      </c>
      <c r="AY26" s="208">
        <v>0.55300000000000005</v>
      </c>
      <c r="AZ26" s="207">
        <v>12.46</v>
      </c>
      <c r="BA26" s="207">
        <v>14.997999999999999</v>
      </c>
      <c r="BB26" s="208">
        <v>0</v>
      </c>
      <c r="BC26" s="208">
        <v>0.69299999999999995</v>
      </c>
      <c r="BD26" s="209">
        <v>47.56</v>
      </c>
      <c r="BE26" s="216">
        <v>887.56799999999998</v>
      </c>
    </row>
    <row r="27" spans="1:57">
      <c r="A27" s="218" t="s">
        <v>934</v>
      </c>
      <c r="B27" s="220" t="s">
        <v>1472</v>
      </c>
      <c r="C27" s="221">
        <v>218.6</v>
      </c>
      <c r="D27" s="222" t="s">
        <v>52</v>
      </c>
      <c r="E27" s="222" t="s">
        <v>108</v>
      </c>
      <c r="F27" s="231">
        <v>378.04300000000001</v>
      </c>
      <c r="G27" s="232">
        <v>60.178094972249674</v>
      </c>
      <c r="H27" s="181">
        <v>30.022406469962505</v>
      </c>
      <c r="I27" s="181">
        <v>9.7994985577878211</v>
      </c>
      <c r="J27" s="206">
        <v>59.825000000000003</v>
      </c>
      <c r="K27" s="206">
        <v>13.265000000000001</v>
      </c>
      <c r="L27" s="206">
        <v>13.119</v>
      </c>
      <c r="M27" s="206">
        <v>0.14599999999999999</v>
      </c>
      <c r="N27" s="206">
        <v>9.7420000000000009</v>
      </c>
      <c r="O27" s="206">
        <v>8.5869999999999997</v>
      </c>
      <c r="P27" s="206">
        <v>1.1559999999999999</v>
      </c>
      <c r="Q27" s="206">
        <v>2.343</v>
      </c>
      <c r="R27" s="207">
        <v>8.1000000000000003E-2</v>
      </c>
      <c r="S27" s="207">
        <v>0.03</v>
      </c>
      <c r="T27" s="206">
        <v>42.688000000000002</v>
      </c>
      <c r="U27" s="206">
        <v>6.89</v>
      </c>
      <c r="V27" s="206">
        <v>37.771999999999998</v>
      </c>
      <c r="W27" s="206">
        <v>0.77900000000000003</v>
      </c>
      <c r="X27" s="206">
        <v>443.91</v>
      </c>
      <c r="Y27" s="208">
        <v>0.31900000000000001</v>
      </c>
      <c r="Z27" s="206">
        <v>2.3380000000000001</v>
      </c>
      <c r="AA27" s="206">
        <v>8.7859999999999996</v>
      </c>
      <c r="AB27" s="206">
        <v>1.272</v>
      </c>
      <c r="AC27" s="208">
        <v>0.58599999999999997</v>
      </c>
      <c r="AD27" s="207">
        <v>0.436</v>
      </c>
      <c r="AE27" s="207">
        <v>1.5649999999999999</v>
      </c>
      <c r="AF27" s="207">
        <v>0.14499999999999999</v>
      </c>
      <c r="AG27" s="206">
        <v>45.076999999999998</v>
      </c>
      <c r="AH27" s="207">
        <v>0.82799999999999996</v>
      </c>
      <c r="AI27" s="207">
        <v>6.7000000000000004E-2</v>
      </c>
      <c r="AJ27" s="208">
        <v>8.0000000000000002E-3</v>
      </c>
      <c r="AK27" s="206">
        <v>22.253</v>
      </c>
      <c r="AL27" s="206">
        <v>22.091000000000001</v>
      </c>
      <c r="AM27" s="206">
        <v>0.16200000000000001</v>
      </c>
      <c r="AN27" s="206">
        <v>106.35599999999999</v>
      </c>
      <c r="AO27" s="206">
        <v>1276.0309999999999</v>
      </c>
      <c r="AP27" s="207">
        <v>0</v>
      </c>
      <c r="AQ27" s="206">
        <v>303.07600000000002</v>
      </c>
      <c r="AR27" s="206">
        <v>3.1680000000000001</v>
      </c>
      <c r="AS27" s="207">
        <v>1.629</v>
      </c>
      <c r="AT27" s="207">
        <v>1.4339999999999999</v>
      </c>
      <c r="AU27" s="207">
        <v>0.19400000000000001</v>
      </c>
      <c r="AV27" s="207">
        <v>0.76300000000000001</v>
      </c>
      <c r="AW27" s="206">
        <v>24.888999999999999</v>
      </c>
      <c r="AX27" s="208">
        <v>0</v>
      </c>
      <c r="AY27" s="208">
        <v>0.66500000000000004</v>
      </c>
      <c r="AZ27" s="207">
        <v>0</v>
      </c>
      <c r="BA27" s="207">
        <v>15.022</v>
      </c>
      <c r="BB27" s="208">
        <v>0</v>
      </c>
      <c r="BC27" s="208">
        <v>0</v>
      </c>
      <c r="BD27" s="209">
        <v>7.1340000000000003</v>
      </c>
      <c r="BE27" s="216">
        <v>1216.499</v>
      </c>
    </row>
    <row r="28" spans="1:57">
      <c r="A28" s="218" t="s">
        <v>935</v>
      </c>
      <c r="B28" s="220" t="s">
        <v>1005</v>
      </c>
      <c r="C28" s="221">
        <v>318.83419258273744</v>
      </c>
      <c r="D28" s="222" t="s">
        <v>107</v>
      </c>
      <c r="E28" s="222" t="s">
        <v>1470</v>
      </c>
      <c r="F28" s="231">
        <v>774.96</v>
      </c>
      <c r="G28" s="232">
        <v>42.358429071407883</v>
      </c>
      <c r="H28" s="181">
        <v>45.772473711419956</v>
      </c>
      <c r="I28" s="181">
        <v>11.869097217172165</v>
      </c>
      <c r="J28" s="206">
        <v>80.090999999999994</v>
      </c>
      <c r="K28" s="206">
        <v>38.465000000000003</v>
      </c>
      <c r="L28" s="206">
        <v>27.04</v>
      </c>
      <c r="M28" s="206">
        <v>11.425000000000001</v>
      </c>
      <c r="N28" s="206">
        <v>22.442</v>
      </c>
      <c r="O28" s="206">
        <v>7.2439999999999998</v>
      </c>
      <c r="P28" s="206">
        <v>15.198</v>
      </c>
      <c r="Q28" s="206">
        <v>8.1199999999999992</v>
      </c>
      <c r="R28" s="207">
        <v>1.696</v>
      </c>
      <c r="S28" s="207">
        <v>5.5250000000000004</v>
      </c>
      <c r="T28" s="206">
        <v>272.15199999999999</v>
      </c>
      <c r="U28" s="206">
        <v>8.1489999999999991</v>
      </c>
      <c r="V28" s="206">
        <v>283.56099999999998</v>
      </c>
      <c r="W28" s="206">
        <v>50.53</v>
      </c>
      <c r="X28" s="206">
        <v>2796.3719999999998</v>
      </c>
      <c r="Y28" s="208">
        <v>0.99299999999999999</v>
      </c>
      <c r="Z28" s="206">
        <v>30.756</v>
      </c>
      <c r="AA28" s="206">
        <v>61.567999999999998</v>
      </c>
      <c r="AB28" s="206">
        <v>36.512999999999998</v>
      </c>
      <c r="AC28" s="208">
        <v>0.77600000000000002</v>
      </c>
      <c r="AD28" s="207">
        <v>0.65700000000000003</v>
      </c>
      <c r="AE28" s="207">
        <v>3.9239999999999999</v>
      </c>
      <c r="AF28" s="207">
        <v>0.45700000000000002</v>
      </c>
      <c r="AG28" s="206">
        <v>182.86600000000001</v>
      </c>
      <c r="AH28" s="207">
        <v>3.4020000000000001</v>
      </c>
      <c r="AI28" s="207">
        <v>2.423</v>
      </c>
      <c r="AJ28" s="208">
        <v>2.4E-2</v>
      </c>
      <c r="AK28" s="206">
        <v>106.41200000000001</v>
      </c>
      <c r="AL28" s="206">
        <v>70.302000000000007</v>
      </c>
      <c r="AM28" s="206">
        <v>36.11</v>
      </c>
      <c r="AN28" s="206">
        <v>362.71499999999997</v>
      </c>
      <c r="AO28" s="206">
        <v>2095.9850000000001</v>
      </c>
      <c r="AP28" s="207">
        <v>32.902999999999999</v>
      </c>
      <c r="AQ28" s="206">
        <v>791.14599999999996</v>
      </c>
      <c r="AR28" s="206">
        <v>38.317999999999998</v>
      </c>
      <c r="AS28" s="207">
        <v>5.71</v>
      </c>
      <c r="AT28" s="207">
        <v>4.0010000000000003</v>
      </c>
      <c r="AU28" s="207">
        <v>1.7090000000000001</v>
      </c>
      <c r="AV28" s="207">
        <v>3.202</v>
      </c>
      <c r="AW28" s="206">
        <v>208.32900000000001</v>
      </c>
      <c r="AX28" s="208">
        <v>1E-3</v>
      </c>
      <c r="AY28" s="208">
        <v>0.438</v>
      </c>
      <c r="AZ28" s="207">
        <v>33.430999999999997</v>
      </c>
      <c r="BA28" s="207">
        <v>38.204999999999998</v>
      </c>
      <c r="BB28" s="208">
        <v>0</v>
      </c>
      <c r="BC28" s="208">
        <v>2.4209999999999998</v>
      </c>
      <c r="BD28" s="209">
        <v>262.30099999999999</v>
      </c>
      <c r="BE28" s="216">
        <v>1370.6020000000001</v>
      </c>
    </row>
    <row r="29" spans="1:57">
      <c r="A29" s="218" t="s">
        <v>936</v>
      </c>
      <c r="B29" s="220" t="s">
        <v>1006</v>
      </c>
      <c r="C29" s="221">
        <v>294.51694306766768</v>
      </c>
      <c r="D29" s="222" t="s">
        <v>52</v>
      </c>
      <c r="E29" s="222" t="s">
        <v>50</v>
      </c>
      <c r="F29" s="231">
        <v>457.00799999999998</v>
      </c>
      <c r="G29" s="232">
        <v>64.481588694867241</v>
      </c>
      <c r="H29" s="181">
        <v>25.624641489801629</v>
      </c>
      <c r="I29" s="181">
        <v>9.8937698153311189</v>
      </c>
      <c r="J29" s="206">
        <v>72.506</v>
      </c>
      <c r="K29" s="206">
        <v>12.805999999999999</v>
      </c>
      <c r="L29" s="206">
        <v>8.2759999999999998</v>
      </c>
      <c r="M29" s="206">
        <v>4.53</v>
      </c>
      <c r="N29" s="206">
        <v>11.125</v>
      </c>
      <c r="O29" s="206">
        <v>7.2549999999999999</v>
      </c>
      <c r="P29" s="206">
        <v>3.87</v>
      </c>
      <c r="Q29" s="206">
        <v>5.1589999999999998</v>
      </c>
      <c r="R29" s="207">
        <v>0.78400000000000003</v>
      </c>
      <c r="S29" s="207">
        <v>3.2330000000000001</v>
      </c>
      <c r="T29" s="206">
        <v>149.82</v>
      </c>
      <c r="U29" s="206">
        <v>5.5030000000000001</v>
      </c>
      <c r="V29" s="206">
        <v>179.10599999999999</v>
      </c>
      <c r="W29" s="206">
        <v>13.8</v>
      </c>
      <c r="X29" s="206">
        <v>1983.67</v>
      </c>
      <c r="Y29" s="208">
        <v>0.435</v>
      </c>
      <c r="Z29" s="206">
        <v>7.6879999999999997</v>
      </c>
      <c r="AA29" s="206">
        <v>137.268</v>
      </c>
      <c r="AB29" s="206">
        <v>23.97</v>
      </c>
      <c r="AC29" s="208">
        <v>0.313</v>
      </c>
      <c r="AD29" s="207">
        <v>0.30199999999999999</v>
      </c>
      <c r="AE29" s="207">
        <v>2.2050000000000001</v>
      </c>
      <c r="AF29" s="207">
        <v>0.22600000000000001</v>
      </c>
      <c r="AG29" s="206">
        <v>156.94999999999999</v>
      </c>
      <c r="AH29" s="207">
        <v>1.833</v>
      </c>
      <c r="AI29" s="207">
        <v>1.413</v>
      </c>
      <c r="AJ29" s="208">
        <v>0</v>
      </c>
      <c r="AK29" s="206">
        <v>60.72</v>
      </c>
      <c r="AL29" s="206">
        <v>51.12</v>
      </c>
      <c r="AM29" s="206">
        <v>9.6</v>
      </c>
      <c r="AN29" s="206">
        <v>175.36</v>
      </c>
      <c r="AO29" s="206">
        <v>1500.32</v>
      </c>
      <c r="AP29" s="207">
        <v>16.093</v>
      </c>
      <c r="AQ29" s="206">
        <v>576.93100000000004</v>
      </c>
      <c r="AR29" s="206">
        <v>25.972000000000001</v>
      </c>
      <c r="AS29" s="207">
        <v>4.3179999999999996</v>
      </c>
      <c r="AT29" s="207">
        <v>3.8380000000000001</v>
      </c>
      <c r="AU29" s="207">
        <v>0.48</v>
      </c>
      <c r="AV29" s="207">
        <v>2.0990000000000002</v>
      </c>
      <c r="AW29" s="206">
        <v>81.822000000000003</v>
      </c>
      <c r="AX29" s="208">
        <v>0</v>
      </c>
      <c r="AY29" s="208">
        <v>0.371</v>
      </c>
      <c r="AZ29" s="207">
        <v>3.84</v>
      </c>
      <c r="BA29" s="207">
        <v>5.8609999999999998</v>
      </c>
      <c r="BB29" s="208">
        <v>0</v>
      </c>
      <c r="BC29" s="208">
        <v>0</v>
      </c>
      <c r="BD29" s="209">
        <v>69.355000000000004</v>
      </c>
      <c r="BE29" s="216">
        <v>1296.412</v>
      </c>
    </row>
    <row r="30" spans="1:57">
      <c r="A30" s="218" t="s">
        <v>937</v>
      </c>
      <c r="B30" s="220" t="s">
        <v>1007</v>
      </c>
      <c r="C30" s="221">
        <v>286.85029098936383</v>
      </c>
      <c r="D30" s="222" t="s">
        <v>107</v>
      </c>
      <c r="E30" s="222" t="s">
        <v>108</v>
      </c>
      <c r="F30" s="231">
        <v>1174.1179999999999</v>
      </c>
      <c r="G30" s="232">
        <v>14.215184305445588</v>
      </c>
      <c r="H30" s="181">
        <v>61.235154394299286</v>
      </c>
      <c r="I30" s="181">
        <v>24.549661300255121</v>
      </c>
      <c r="J30" s="206">
        <v>40.396000000000001</v>
      </c>
      <c r="K30" s="206">
        <v>77.34</v>
      </c>
      <c r="L30" s="206">
        <v>41.39</v>
      </c>
      <c r="M30" s="206">
        <v>35.950000000000003</v>
      </c>
      <c r="N30" s="206">
        <v>69.763999999999996</v>
      </c>
      <c r="O30" s="206">
        <v>7.0640000000000001</v>
      </c>
      <c r="P30" s="206">
        <v>62.7</v>
      </c>
      <c r="Q30" s="206">
        <v>5.8040000000000003</v>
      </c>
      <c r="R30" s="207">
        <v>1.21</v>
      </c>
      <c r="S30" s="207">
        <v>3.17</v>
      </c>
      <c r="T30" s="206">
        <v>316.62200000000001</v>
      </c>
      <c r="U30" s="206">
        <v>9.7490000000000006</v>
      </c>
      <c r="V30" s="206">
        <v>193.59100000000001</v>
      </c>
      <c r="W30" s="206">
        <v>193.5</v>
      </c>
      <c r="X30" s="206">
        <v>1.0960000000000001</v>
      </c>
      <c r="Y30" s="208">
        <v>0.9</v>
      </c>
      <c r="Z30" s="206">
        <v>46.976999999999997</v>
      </c>
      <c r="AA30" s="206">
        <v>89.625</v>
      </c>
      <c r="AB30" s="206">
        <v>10.5</v>
      </c>
      <c r="AC30" s="208">
        <v>0.86299999999999999</v>
      </c>
      <c r="AD30" s="207">
        <v>1.0649999999999999</v>
      </c>
      <c r="AE30" s="207">
        <v>9.5869999999999997</v>
      </c>
      <c r="AF30" s="207">
        <v>0.94399999999999995</v>
      </c>
      <c r="AG30" s="206">
        <v>100.73</v>
      </c>
      <c r="AH30" s="207">
        <v>1.68</v>
      </c>
      <c r="AI30" s="207">
        <v>4.0010000000000003</v>
      </c>
      <c r="AJ30" s="208">
        <v>0</v>
      </c>
      <c r="AK30" s="206">
        <v>92.763000000000005</v>
      </c>
      <c r="AL30" s="206">
        <v>36.762999999999998</v>
      </c>
      <c r="AM30" s="206">
        <v>56</v>
      </c>
      <c r="AN30" s="206">
        <v>678.54100000000005</v>
      </c>
      <c r="AO30" s="206">
        <v>2341.4899999999998</v>
      </c>
      <c r="AP30" s="207">
        <v>33.880000000000003</v>
      </c>
      <c r="AQ30" s="206">
        <v>494.10899999999998</v>
      </c>
      <c r="AR30" s="206">
        <v>15.69</v>
      </c>
      <c r="AS30" s="207">
        <v>5.93</v>
      </c>
      <c r="AT30" s="207">
        <v>2.38</v>
      </c>
      <c r="AU30" s="207">
        <v>3.55</v>
      </c>
      <c r="AV30" s="207">
        <v>3.7210000000000001</v>
      </c>
      <c r="AW30" s="206">
        <v>273.99</v>
      </c>
      <c r="AX30" s="208">
        <v>1E-3</v>
      </c>
      <c r="AY30" s="208">
        <v>0.42</v>
      </c>
      <c r="AZ30" s="207">
        <v>166.72499999999999</v>
      </c>
      <c r="BA30" s="207">
        <v>61.606999999999999</v>
      </c>
      <c r="BB30" s="208">
        <v>0</v>
      </c>
      <c r="BC30" s="208">
        <v>0</v>
      </c>
      <c r="BD30" s="209">
        <v>372.44</v>
      </c>
      <c r="BE30" s="216">
        <v>1881.432</v>
      </c>
    </row>
    <row r="31" spans="1:57">
      <c r="A31" s="223" t="s">
        <v>938</v>
      </c>
      <c r="B31" s="224" t="s">
        <v>1008</v>
      </c>
      <c r="C31" s="225">
        <v>368.15600026418326</v>
      </c>
      <c r="D31" s="226" t="s">
        <v>52</v>
      </c>
      <c r="E31" s="226" t="s">
        <v>53</v>
      </c>
      <c r="F31" s="233">
        <v>486.60500000000002</v>
      </c>
      <c r="G31" s="232">
        <v>68.785560793449875</v>
      </c>
      <c r="H31" s="181">
        <v>11.320159631954988</v>
      </c>
      <c r="I31" s="181">
        <v>19.894279574595139</v>
      </c>
      <c r="J31" s="210">
        <v>81.784999999999997</v>
      </c>
      <c r="K31" s="210">
        <v>5.9820000000000002</v>
      </c>
      <c r="L31" s="210">
        <v>5.202</v>
      </c>
      <c r="M31" s="210">
        <v>0.78</v>
      </c>
      <c r="N31" s="210">
        <v>23.654</v>
      </c>
      <c r="O31" s="210">
        <v>9.3140000000000001</v>
      </c>
      <c r="P31" s="210">
        <v>14.34</v>
      </c>
      <c r="Q31" s="210">
        <v>7.4530000000000003</v>
      </c>
      <c r="R31" s="211">
        <v>0.75900000000000001</v>
      </c>
      <c r="S31" s="211">
        <v>4.8390000000000004</v>
      </c>
      <c r="T31" s="210">
        <v>181.934</v>
      </c>
      <c r="U31" s="210">
        <v>7.2060000000000004</v>
      </c>
      <c r="V31" s="210">
        <v>178.428</v>
      </c>
      <c r="W31" s="210">
        <v>5.4</v>
      </c>
      <c r="X31" s="210">
        <v>2076.335</v>
      </c>
      <c r="Y31" s="212">
        <v>0</v>
      </c>
      <c r="Z31" s="210">
        <v>2.9140000000000001</v>
      </c>
      <c r="AA31" s="210">
        <v>77.88</v>
      </c>
      <c r="AB31" s="210">
        <v>16.64</v>
      </c>
      <c r="AC31" s="212">
        <v>0.32500000000000001</v>
      </c>
      <c r="AD31" s="211">
        <v>0.23300000000000001</v>
      </c>
      <c r="AE31" s="211">
        <v>8.5549999999999997</v>
      </c>
      <c r="AF31" s="211">
        <v>0.70899999999999996</v>
      </c>
      <c r="AG31" s="210">
        <v>99.066999999999993</v>
      </c>
      <c r="AH31" s="211">
        <v>0.312</v>
      </c>
      <c r="AI31" s="211">
        <v>1.665</v>
      </c>
      <c r="AJ31" s="212">
        <v>0.19</v>
      </c>
      <c r="AK31" s="210">
        <v>104.255</v>
      </c>
      <c r="AL31" s="210">
        <v>92.855000000000004</v>
      </c>
      <c r="AM31" s="210">
        <v>11.4</v>
      </c>
      <c r="AN31" s="210">
        <v>327.935</v>
      </c>
      <c r="AO31" s="210">
        <v>1859.5</v>
      </c>
      <c r="AP31" s="211">
        <v>7.6</v>
      </c>
      <c r="AQ31" s="210">
        <v>493.57499999999999</v>
      </c>
      <c r="AR31" s="210">
        <v>42.07</v>
      </c>
      <c r="AS31" s="211">
        <v>4.5010000000000003</v>
      </c>
      <c r="AT31" s="211">
        <v>3.5409999999999999</v>
      </c>
      <c r="AU31" s="211">
        <v>0.96</v>
      </c>
      <c r="AV31" s="211">
        <v>2.2080000000000002</v>
      </c>
      <c r="AW31" s="210">
        <v>133.58000000000001</v>
      </c>
      <c r="AX31" s="212">
        <v>1E-3</v>
      </c>
      <c r="AY31" s="212">
        <v>0.52500000000000002</v>
      </c>
      <c r="AZ31" s="211">
        <v>0.57999999999999996</v>
      </c>
      <c r="BA31" s="211">
        <v>23.59</v>
      </c>
      <c r="BB31" s="212">
        <v>0.15</v>
      </c>
      <c r="BC31" s="212">
        <v>0.22900000000000001</v>
      </c>
      <c r="BD31" s="213">
        <v>23.4</v>
      </c>
      <c r="BE31" s="215">
        <v>892.5</v>
      </c>
    </row>
    <row r="32" spans="1:57">
      <c r="A32" s="218" t="s">
        <v>1438</v>
      </c>
      <c r="B32" s="220" t="s">
        <v>1009</v>
      </c>
      <c r="C32" s="221">
        <v>132.26351351351352</v>
      </c>
      <c r="D32" s="222"/>
      <c r="E32" s="222" t="s">
        <v>1439</v>
      </c>
      <c r="F32" s="231">
        <v>197.578</v>
      </c>
      <c r="G32" s="232">
        <v>48.368903890717093</v>
      </c>
      <c r="H32" s="181">
        <v>24.007745458008401</v>
      </c>
      <c r="I32" s="181">
        <v>27.62335065127451</v>
      </c>
      <c r="J32" s="206">
        <v>22.856000000000002</v>
      </c>
      <c r="K32" s="206">
        <v>5.0419999999999998</v>
      </c>
      <c r="L32" s="206">
        <v>0.35099999999999998</v>
      </c>
      <c r="M32" s="206">
        <v>4.6909999999999998</v>
      </c>
      <c r="N32" s="206">
        <v>13.053000000000001</v>
      </c>
      <c r="O32" s="206">
        <v>3.677</v>
      </c>
      <c r="P32" s="206">
        <v>9.375</v>
      </c>
      <c r="Q32" s="206">
        <v>0.13300000000000001</v>
      </c>
      <c r="R32" s="207">
        <v>0</v>
      </c>
      <c r="S32" s="207">
        <v>0</v>
      </c>
      <c r="T32" s="206">
        <v>54.325000000000003</v>
      </c>
      <c r="U32" s="206">
        <v>1.2050000000000001</v>
      </c>
      <c r="V32" s="206">
        <v>4.0010000000000003</v>
      </c>
      <c r="W32" s="206">
        <v>0.68799999999999994</v>
      </c>
      <c r="X32" s="206">
        <v>39.758000000000003</v>
      </c>
      <c r="Y32" s="208">
        <v>0.95</v>
      </c>
      <c r="Z32" s="206">
        <v>0.626</v>
      </c>
      <c r="AA32" s="206">
        <v>0.09</v>
      </c>
      <c r="AB32" s="206">
        <v>1.327</v>
      </c>
      <c r="AC32" s="208">
        <v>0.38500000000000001</v>
      </c>
      <c r="AD32" s="207">
        <v>8.8999999999999996E-2</v>
      </c>
      <c r="AE32" s="207">
        <v>2.48</v>
      </c>
      <c r="AF32" s="207">
        <v>0.21099999999999999</v>
      </c>
      <c r="AG32" s="206">
        <v>13.634</v>
      </c>
      <c r="AH32" s="207">
        <v>0.56200000000000006</v>
      </c>
      <c r="AI32" s="207">
        <v>0.46300000000000002</v>
      </c>
      <c r="AJ32" s="208">
        <v>0</v>
      </c>
      <c r="AK32" s="206">
        <v>33.404000000000003</v>
      </c>
      <c r="AL32" s="206">
        <v>14.215999999999999</v>
      </c>
      <c r="AM32" s="206">
        <v>19.187999999999999</v>
      </c>
      <c r="AN32" s="206">
        <v>158.80600000000001</v>
      </c>
      <c r="AO32" s="206">
        <v>166.83799999999999</v>
      </c>
      <c r="AP32" s="207">
        <v>0</v>
      </c>
      <c r="AQ32" s="206">
        <v>174.99</v>
      </c>
      <c r="AR32" s="206">
        <v>16.559999999999999</v>
      </c>
      <c r="AS32" s="207">
        <v>1.4430000000000001</v>
      </c>
      <c r="AT32" s="207">
        <v>0.54200000000000004</v>
      </c>
      <c r="AU32" s="207">
        <v>0.9</v>
      </c>
      <c r="AV32" s="207">
        <v>1.2909999999999999</v>
      </c>
      <c r="AW32" s="206">
        <v>198.25899999999999</v>
      </c>
      <c r="AX32" s="208">
        <v>0</v>
      </c>
      <c r="AY32" s="208">
        <v>0.16900000000000001</v>
      </c>
      <c r="AZ32" s="207">
        <v>0</v>
      </c>
      <c r="BA32" s="207">
        <v>23.39</v>
      </c>
      <c r="BB32" s="208">
        <v>0</v>
      </c>
      <c r="BC32" s="208">
        <v>0</v>
      </c>
      <c r="BD32" s="209">
        <v>45.61</v>
      </c>
      <c r="BE32" s="216">
        <v>114.23099999999999</v>
      </c>
    </row>
    <row r="33" spans="1:60">
      <c r="A33" s="218" t="s">
        <v>939</v>
      </c>
      <c r="B33" s="220" t="s">
        <v>1010</v>
      </c>
      <c r="C33" s="221">
        <v>354.20098846787477</v>
      </c>
      <c r="D33" s="222" t="s">
        <v>1440</v>
      </c>
      <c r="E33" s="222" t="s">
        <v>1441</v>
      </c>
      <c r="F33" s="231">
        <v>472.34100000000001</v>
      </c>
      <c r="G33" s="232">
        <v>20.246749823567924</v>
      </c>
      <c r="H33" s="181">
        <v>55.778894472361806</v>
      </c>
      <c r="I33" s="181">
        <v>23.97435570407027</v>
      </c>
      <c r="J33" s="206">
        <v>23.812000000000001</v>
      </c>
      <c r="K33" s="206">
        <v>29.155999999999999</v>
      </c>
      <c r="L33" s="206">
        <v>27.724</v>
      </c>
      <c r="M33" s="206">
        <v>1.4319999999999999</v>
      </c>
      <c r="N33" s="206">
        <v>28.196000000000002</v>
      </c>
      <c r="O33" s="206">
        <v>3.379</v>
      </c>
      <c r="P33" s="206">
        <v>24.815999999999999</v>
      </c>
      <c r="Q33" s="206">
        <v>5.7809999999999997</v>
      </c>
      <c r="R33" s="207">
        <v>0.53400000000000003</v>
      </c>
      <c r="S33" s="207">
        <v>3.9159999999999999</v>
      </c>
      <c r="T33" s="206">
        <v>127.488</v>
      </c>
      <c r="U33" s="206">
        <v>4.7130000000000001</v>
      </c>
      <c r="V33" s="206">
        <v>190.08199999999999</v>
      </c>
      <c r="W33" s="206">
        <v>47</v>
      </c>
      <c r="X33" s="206">
        <v>1716.979</v>
      </c>
      <c r="Y33" s="208">
        <v>0</v>
      </c>
      <c r="Z33" s="206">
        <v>28.091000000000001</v>
      </c>
      <c r="AA33" s="206">
        <v>58.948999999999998</v>
      </c>
      <c r="AB33" s="206">
        <v>11.292</v>
      </c>
      <c r="AC33" s="208">
        <v>0.29299999999999998</v>
      </c>
      <c r="AD33" s="207">
        <v>0.39300000000000002</v>
      </c>
      <c r="AE33" s="207">
        <v>4.4530000000000003</v>
      </c>
      <c r="AF33" s="207">
        <v>0.52700000000000002</v>
      </c>
      <c r="AG33" s="206">
        <v>69.369</v>
      </c>
      <c r="AH33" s="207">
        <v>0.35299999999999998</v>
      </c>
      <c r="AI33" s="207">
        <v>9.4E-2</v>
      </c>
      <c r="AJ33" s="208">
        <v>0</v>
      </c>
      <c r="AK33" s="206">
        <v>55.579000000000001</v>
      </c>
      <c r="AL33" s="206">
        <v>41.929000000000002</v>
      </c>
      <c r="AM33" s="206">
        <v>13.65</v>
      </c>
      <c r="AN33" s="206">
        <v>196.54900000000001</v>
      </c>
      <c r="AO33" s="206">
        <v>996.58299999999997</v>
      </c>
      <c r="AP33" s="207">
        <v>0</v>
      </c>
      <c r="AQ33" s="206">
        <v>685.78200000000004</v>
      </c>
      <c r="AR33" s="206">
        <v>22.687999999999999</v>
      </c>
      <c r="AS33" s="207">
        <v>3.18</v>
      </c>
      <c r="AT33" s="207">
        <v>1.952</v>
      </c>
      <c r="AU33" s="207">
        <v>1.2270000000000001</v>
      </c>
      <c r="AV33" s="207">
        <v>2.3479999999999999</v>
      </c>
      <c r="AW33" s="206">
        <v>221.35300000000001</v>
      </c>
      <c r="AX33" s="208">
        <v>0</v>
      </c>
      <c r="AY33" s="208">
        <v>0.40899999999999997</v>
      </c>
      <c r="AZ33" s="207">
        <v>0</v>
      </c>
      <c r="BA33" s="207">
        <v>18.923999999999999</v>
      </c>
      <c r="BB33" s="208">
        <v>0</v>
      </c>
      <c r="BC33" s="208">
        <v>0</v>
      </c>
      <c r="BD33" s="209">
        <v>54.274999999999999</v>
      </c>
      <c r="BE33" s="216">
        <v>916.35</v>
      </c>
      <c r="BF33" s="188"/>
      <c r="BG33" s="188"/>
      <c r="BH33" s="189"/>
    </row>
    <row r="34" spans="1:60">
      <c r="A34" s="218" t="s">
        <v>940</v>
      </c>
      <c r="B34" s="220" t="s">
        <v>1011</v>
      </c>
      <c r="C34" s="221">
        <v>486.78947368421046</v>
      </c>
      <c r="D34" s="222" t="s">
        <v>1442</v>
      </c>
      <c r="E34" s="222" t="s">
        <v>1443</v>
      </c>
      <c r="F34" s="231">
        <v>145.797</v>
      </c>
      <c r="G34" s="232">
        <v>30.523737627914777</v>
      </c>
      <c r="H34" s="181">
        <v>64.601912430800198</v>
      </c>
      <c r="I34" s="181">
        <v>4.8743499412850193</v>
      </c>
      <c r="J34" s="206">
        <v>11.372</v>
      </c>
      <c r="K34" s="206">
        <v>10.696999999999999</v>
      </c>
      <c r="L34" s="206">
        <v>10.696999999999999</v>
      </c>
      <c r="M34" s="206">
        <v>0</v>
      </c>
      <c r="N34" s="206">
        <v>1.8160000000000001</v>
      </c>
      <c r="O34" s="206">
        <v>1.8160000000000001</v>
      </c>
      <c r="P34" s="206">
        <v>0</v>
      </c>
      <c r="Q34" s="206">
        <v>4.1319999999999997</v>
      </c>
      <c r="R34" s="207">
        <v>1.1419999999999999</v>
      </c>
      <c r="S34" s="207">
        <v>2.6920000000000002</v>
      </c>
      <c r="T34" s="206">
        <v>151.41</v>
      </c>
      <c r="U34" s="206">
        <v>3.5049999999999999</v>
      </c>
      <c r="V34" s="206">
        <v>151.34</v>
      </c>
      <c r="W34" s="206">
        <v>0</v>
      </c>
      <c r="X34" s="206">
        <v>1816.0840000000001</v>
      </c>
      <c r="Y34" s="208">
        <v>0</v>
      </c>
      <c r="Z34" s="206">
        <v>11.509</v>
      </c>
      <c r="AA34" s="206">
        <v>28.638999999999999</v>
      </c>
      <c r="AB34" s="206">
        <v>20.100999999999999</v>
      </c>
      <c r="AC34" s="208">
        <v>0.223</v>
      </c>
      <c r="AD34" s="207">
        <v>8.5999999999999993E-2</v>
      </c>
      <c r="AE34" s="207">
        <v>0.85099999999999998</v>
      </c>
      <c r="AF34" s="207">
        <v>0.155</v>
      </c>
      <c r="AG34" s="206">
        <v>75.506</v>
      </c>
      <c r="AH34" s="207">
        <v>0</v>
      </c>
      <c r="AI34" s="207">
        <v>0.38800000000000001</v>
      </c>
      <c r="AJ34" s="208">
        <v>0</v>
      </c>
      <c r="AK34" s="206">
        <v>37.235999999999997</v>
      </c>
      <c r="AL34" s="206">
        <v>37.235999999999997</v>
      </c>
      <c r="AM34" s="206">
        <v>0</v>
      </c>
      <c r="AN34" s="206">
        <v>51.494999999999997</v>
      </c>
      <c r="AO34" s="206">
        <v>1020.001</v>
      </c>
      <c r="AP34" s="207">
        <v>13.794</v>
      </c>
      <c r="AQ34" s="206">
        <v>378.02499999999998</v>
      </c>
      <c r="AR34" s="206">
        <v>5.5289999999999999</v>
      </c>
      <c r="AS34" s="207">
        <v>0.71399999999999997</v>
      </c>
      <c r="AT34" s="207">
        <v>0.71399999999999997</v>
      </c>
      <c r="AU34" s="207">
        <v>0</v>
      </c>
      <c r="AV34" s="207">
        <v>0.432</v>
      </c>
      <c r="AW34" s="206">
        <v>18.802</v>
      </c>
      <c r="AX34" s="208">
        <v>0</v>
      </c>
      <c r="AY34" s="208">
        <v>7.0000000000000007E-2</v>
      </c>
      <c r="AZ34" s="207">
        <v>0</v>
      </c>
      <c r="BA34" s="207">
        <v>1.4770000000000001</v>
      </c>
      <c r="BB34" s="208">
        <v>0</v>
      </c>
      <c r="BC34" s="208">
        <v>0.69199999999999995</v>
      </c>
      <c r="BD34" s="209">
        <v>0.11600000000000001</v>
      </c>
      <c r="BE34" s="216">
        <v>912.46199999999999</v>
      </c>
      <c r="BF34" s="190"/>
      <c r="BG34" s="190"/>
      <c r="BH34" s="189"/>
    </row>
    <row r="35" spans="1:60">
      <c r="A35" s="218" t="s">
        <v>941</v>
      </c>
      <c r="B35" s="220" t="s">
        <v>1012</v>
      </c>
      <c r="C35" s="221">
        <v>268.71844628262266</v>
      </c>
      <c r="D35" s="222"/>
      <c r="E35" s="222" t="s">
        <v>1444</v>
      </c>
      <c r="F35" s="231">
        <v>364.84500000000003</v>
      </c>
      <c r="G35" s="232">
        <v>21.425166691901776</v>
      </c>
      <c r="H35" s="181">
        <v>60.286670816439823</v>
      </c>
      <c r="I35" s="181">
        <v>18.288162491658397</v>
      </c>
      <c r="J35" s="206">
        <v>19.103000000000002</v>
      </c>
      <c r="K35" s="206">
        <v>23.89</v>
      </c>
      <c r="L35" s="206">
        <v>10.69</v>
      </c>
      <c r="M35" s="206">
        <v>13.2</v>
      </c>
      <c r="N35" s="206">
        <v>16.306000000000001</v>
      </c>
      <c r="O35" s="206">
        <v>2.206</v>
      </c>
      <c r="P35" s="206">
        <v>14.1</v>
      </c>
      <c r="Q35" s="206">
        <v>2.133</v>
      </c>
      <c r="R35" s="207">
        <v>0.20699999999999999</v>
      </c>
      <c r="S35" s="207">
        <v>0.65300000000000002</v>
      </c>
      <c r="T35" s="206">
        <v>118.283</v>
      </c>
      <c r="U35" s="206">
        <v>3.2280000000000002</v>
      </c>
      <c r="V35" s="206">
        <v>17.157</v>
      </c>
      <c r="W35" s="206">
        <v>2</v>
      </c>
      <c r="X35" s="206">
        <v>181.88200000000001</v>
      </c>
      <c r="Y35" s="208">
        <v>0</v>
      </c>
      <c r="Z35" s="206">
        <v>10.698</v>
      </c>
      <c r="AA35" s="206">
        <v>19.855</v>
      </c>
      <c r="AB35" s="206">
        <v>5.1529999999999996</v>
      </c>
      <c r="AC35" s="208">
        <v>0.95099999999999996</v>
      </c>
      <c r="AD35" s="207">
        <v>0.253</v>
      </c>
      <c r="AE35" s="207">
        <v>4.4850000000000003</v>
      </c>
      <c r="AF35" s="207">
        <v>0.55700000000000005</v>
      </c>
      <c r="AG35" s="206">
        <v>33.555</v>
      </c>
      <c r="AH35" s="207">
        <v>0.79</v>
      </c>
      <c r="AI35" s="207">
        <v>0.95</v>
      </c>
      <c r="AJ35" s="208">
        <v>0</v>
      </c>
      <c r="AK35" s="206">
        <v>37.142000000000003</v>
      </c>
      <c r="AL35" s="206">
        <v>35.142000000000003</v>
      </c>
      <c r="AM35" s="206">
        <v>2</v>
      </c>
      <c r="AN35" s="206">
        <v>265.80099999999999</v>
      </c>
      <c r="AO35" s="206">
        <v>148.00399999999999</v>
      </c>
      <c r="AP35" s="207">
        <v>0</v>
      </c>
      <c r="AQ35" s="206">
        <v>228.238</v>
      </c>
      <c r="AR35" s="206">
        <v>44.732999999999997</v>
      </c>
      <c r="AS35" s="207">
        <v>2.9260000000000002</v>
      </c>
      <c r="AT35" s="207">
        <v>1.3260000000000001</v>
      </c>
      <c r="AU35" s="207">
        <v>1.6</v>
      </c>
      <c r="AV35" s="207">
        <v>2.524</v>
      </c>
      <c r="AW35" s="206">
        <v>98.13</v>
      </c>
      <c r="AX35" s="208">
        <v>0</v>
      </c>
      <c r="AY35" s="208">
        <v>0.59099999999999997</v>
      </c>
      <c r="AZ35" s="207">
        <v>0</v>
      </c>
      <c r="BA35" s="207">
        <v>31.042999999999999</v>
      </c>
      <c r="BB35" s="208">
        <v>0</v>
      </c>
      <c r="BC35" s="208">
        <v>0</v>
      </c>
      <c r="BD35" s="209">
        <v>65.11</v>
      </c>
      <c r="BE35" s="216">
        <v>96.656999999999996</v>
      </c>
      <c r="BF35" s="191"/>
      <c r="BG35" s="191"/>
      <c r="BH35" s="189"/>
    </row>
    <row r="36" spans="1:60">
      <c r="A36" s="218" t="s">
        <v>942</v>
      </c>
      <c r="B36" s="220" t="s">
        <v>1013</v>
      </c>
      <c r="C36" s="221">
        <v>363.22245940176714</v>
      </c>
      <c r="D36" s="222"/>
      <c r="E36" s="222" t="s">
        <v>1443</v>
      </c>
      <c r="F36" s="231">
        <v>264.06200000000001</v>
      </c>
      <c r="G36" s="232">
        <v>6.5224933502949014</v>
      </c>
      <c r="H36" s="181">
        <v>72.822944373771264</v>
      </c>
      <c r="I36" s="181">
        <v>20.654562275933852</v>
      </c>
      <c r="J36" s="206">
        <v>4.2300000000000004</v>
      </c>
      <c r="K36" s="206">
        <v>20.99</v>
      </c>
      <c r="L36" s="206">
        <v>17.03</v>
      </c>
      <c r="M36" s="206">
        <v>3.96</v>
      </c>
      <c r="N36" s="206">
        <v>13.395</v>
      </c>
      <c r="O36" s="206">
        <v>9.1649999999999991</v>
      </c>
      <c r="P36" s="206">
        <v>4.2300000000000004</v>
      </c>
      <c r="Q36" s="206">
        <v>6.23</v>
      </c>
      <c r="R36" s="207">
        <v>0.73699999999999999</v>
      </c>
      <c r="S36" s="207">
        <v>4.7460000000000004</v>
      </c>
      <c r="T36" s="206">
        <v>129.67500000000001</v>
      </c>
      <c r="U36" s="206">
        <v>2.2250000000000001</v>
      </c>
      <c r="V36" s="206">
        <v>7.19</v>
      </c>
      <c r="W36" s="206">
        <v>0.6</v>
      </c>
      <c r="X36" s="206">
        <v>79.075000000000003</v>
      </c>
      <c r="Y36" s="208">
        <v>0</v>
      </c>
      <c r="Z36" s="206">
        <v>11.756</v>
      </c>
      <c r="AA36" s="206">
        <v>24.231999999999999</v>
      </c>
      <c r="AB36" s="206">
        <v>3.35</v>
      </c>
      <c r="AC36" s="208">
        <v>0.42599999999999999</v>
      </c>
      <c r="AD36" s="207">
        <v>0.14699999999999999</v>
      </c>
      <c r="AE36" s="207">
        <v>1.7769999999999999</v>
      </c>
      <c r="AF36" s="207">
        <v>0.252</v>
      </c>
      <c r="AG36" s="206">
        <v>35.44</v>
      </c>
      <c r="AH36" s="207">
        <v>0.23699999999999999</v>
      </c>
      <c r="AI36" s="207">
        <v>0.28699999999999998</v>
      </c>
      <c r="AJ36" s="208">
        <v>0</v>
      </c>
      <c r="AK36" s="206">
        <v>60.594999999999999</v>
      </c>
      <c r="AL36" s="206">
        <v>59.994999999999997</v>
      </c>
      <c r="AM36" s="206">
        <v>0.6</v>
      </c>
      <c r="AN36" s="206">
        <v>221.55099999999999</v>
      </c>
      <c r="AO36" s="206">
        <v>20.082000000000001</v>
      </c>
      <c r="AP36" s="207">
        <v>0</v>
      </c>
      <c r="AQ36" s="206">
        <v>232.113</v>
      </c>
      <c r="AR36" s="206">
        <v>10.210000000000001</v>
      </c>
      <c r="AS36" s="207">
        <v>2.5</v>
      </c>
      <c r="AT36" s="207">
        <v>2.02</v>
      </c>
      <c r="AU36" s="207">
        <v>0.48</v>
      </c>
      <c r="AV36" s="207">
        <v>1.821</v>
      </c>
      <c r="AW36" s="206">
        <v>26.145</v>
      </c>
      <c r="AX36" s="208">
        <v>0</v>
      </c>
      <c r="AY36" s="208">
        <v>9.9000000000000005E-2</v>
      </c>
      <c r="AZ36" s="207">
        <v>0</v>
      </c>
      <c r="BA36" s="207">
        <v>9.8780000000000001</v>
      </c>
      <c r="BB36" s="208">
        <v>0</v>
      </c>
      <c r="BC36" s="208">
        <v>0</v>
      </c>
      <c r="BD36" s="209">
        <v>19.617000000000001</v>
      </c>
      <c r="BE36" s="216">
        <v>0</v>
      </c>
      <c r="BF36" s="192"/>
      <c r="BG36" s="192"/>
      <c r="BH36" s="189"/>
    </row>
    <row r="37" spans="1:60">
      <c r="A37" s="218" t="s">
        <v>943</v>
      </c>
      <c r="B37" s="220" t="s">
        <v>1014</v>
      </c>
      <c r="C37" s="221">
        <v>338.7153387153387</v>
      </c>
      <c r="D37" s="222" t="s">
        <v>1445</v>
      </c>
      <c r="E37" s="222" t="s">
        <v>1444</v>
      </c>
      <c r="F37" s="231">
        <v>482.07</v>
      </c>
      <c r="G37" s="232">
        <v>13.785482250013553</v>
      </c>
      <c r="H37" s="181">
        <v>73.639195506311424</v>
      </c>
      <c r="I37" s="181">
        <v>12.575322243675016</v>
      </c>
      <c r="J37" s="206">
        <v>16.529</v>
      </c>
      <c r="K37" s="206">
        <v>39.241999999999997</v>
      </c>
      <c r="L37" s="206">
        <v>30.111999999999998</v>
      </c>
      <c r="M37" s="206">
        <v>9.1300000000000008</v>
      </c>
      <c r="N37" s="206">
        <v>15.077999999999999</v>
      </c>
      <c r="O37" s="206">
        <v>2.5379999999999998</v>
      </c>
      <c r="P37" s="206">
        <v>12.54</v>
      </c>
      <c r="Q37" s="206">
        <v>10.301</v>
      </c>
      <c r="R37" s="207">
        <v>2.11</v>
      </c>
      <c r="S37" s="207">
        <v>3.85</v>
      </c>
      <c r="T37" s="206">
        <v>308.983</v>
      </c>
      <c r="U37" s="206">
        <v>3.1680000000000001</v>
      </c>
      <c r="V37" s="206">
        <v>129.804</v>
      </c>
      <c r="W37" s="206">
        <v>95.7</v>
      </c>
      <c r="X37" s="206">
        <v>409.25</v>
      </c>
      <c r="Y37" s="208">
        <v>1.98</v>
      </c>
      <c r="Z37" s="206">
        <v>35.881</v>
      </c>
      <c r="AA37" s="206">
        <v>76.608000000000004</v>
      </c>
      <c r="AB37" s="206">
        <v>32.96</v>
      </c>
      <c r="AC37" s="208">
        <v>0.35</v>
      </c>
      <c r="AD37" s="207">
        <v>0.86</v>
      </c>
      <c r="AE37" s="207">
        <v>1.9950000000000001</v>
      </c>
      <c r="AF37" s="207">
        <v>0.27900000000000003</v>
      </c>
      <c r="AG37" s="206">
        <v>286.52300000000002</v>
      </c>
      <c r="AH37" s="207">
        <v>1.419</v>
      </c>
      <c r="AI37" s="207">
        <v>1.819</v>
      </c>
      <c r="AJ37" s="208">
        <v>0</v>
      </c>
      <c r="AK37" s="206">
        <v>99.54</v>
      </c>
      <c r="AL37" s="206">
        <v>42.34</v>
      </c>
      <c r="AM37" s="206">
        <v>57.2</v>
      </c>
      <c r="AN37" s="206">
        <v>248.65</v>
      </c>
      <c r="AO37" s="206">
        <v>562.41</v>
      </c>
      <c r="AP37" s="207">
        <v>6.05</v>
      </c>
      <c r="AQ37" s="206">
        <v>655.02</v>
      </c>
      <c r="AR37" s="206">
        <v>43.543999999999997</v>
      </c>
      <c r="AS37" s="207">
        <v>3.3959999999999999</v>
      </c>
      <c r="AT37" s="207">
        <v>1.526</v>
      </c>
      <c r="AU37" s="207">
        <v>1.87</v>
      </c>
      <c r="AV37" s="207">
        <v>2.278</v>
      </c>
      <c r="AW37" s="206">
        <v>293.08499999999998</v>
      </c>
      <c r="AX37" s="208">
        <v>5.0000000000000001E-3</v>
      </c>
      <c r="AY37" s="208">
        <v>0.17599999999999999</v>
      </c>
      <c r="AZ37" s="207">
        <v>28.16</v>
      </c>
      <c r="BA37" s="207">
        <v>36.875</v>
      </c>
      <c r="BB37" s="208">
        <v>0</v>
      </c>
      <c r="BC37" s="208">
        <v>0</v>
      </c>
      <c r="BD37" s="209">
        <v>435.93</v>
      </c>
      <c r="BE37" s="216">
        <v>335.97</v>
      </c>
      <c r="BF37" s="193"/>
      <c r="BG37" s="193"/>
      <c r="BH37" s="189"/>
    </row>
    <row r="38" spans="1:60">
      <c r="A38" s="218" t="s">
        <v>944</v>
      </c>
      <c r="B38" s="220" t="s">
        <v>1015</v>
      </c>
      <c r="C38" s="221">
        <v>208.34695746002683</v>
      </c>
      <c r="D38" s="222" t="s">
        <v>1442</v>
      </c>
      <c r="E38" s="222" t="s">
        <v>1439</v>
      </c>
      <c r="F38" s="231">
        <v>581.625</v>
      </c>
      <c r="G38" s="232">
        <v>15.890223225659092</v>
      </c>
      <c r="H38" s="181">
        <v>64.768121162073612</v>
      </c>
      <c r="I38" s="181">
        <v>19.34165561226731</v>
      </c>
      <c r="J38" s="206">
        <v>22.61</v>
      </c>
      <c r="K38" s="206">
        <v>40.959000000000003</v>
      </c>
      <c r="L38" s="206">
        <v>1.359</v>
      </c>
      <c r="M38" s="206">
        <v>39.6</v>
      </c>
      <c r="N38" s="206">
        <v>27.521000000000001</v>
      </c>
      <c r="O38" s="206">
        <v>3.8210000000000002</v>
      </c>
      <c r="P38" s="206">
        <v>23.7</v>
      </c>
      <c r="Q38" s="206">
        <v>5.5609999999999999</v>
      </c>
      <c r="R38" s="207">
        <v>0.113</v>
      </c>
      <c r="S38" s="207">
        <v>4.8499999999999996</v>
      </c>
      <c r="T38" s="206">
        <v>106.06399999999999</v>
      </c>
      <c r="U38" s="206">
        <v>5.0970000000000004</v>
      </c>
      <c r="V38" s="206">
        <v>215.30199999999999</v>
      </c>
      <c r="W38" s="206">
        <v>0</v>
      </c>
      <c r="X38" s="206">
        <v>2583.623</v>
      </c>
      <c r="Y38" s="208">
        <v>0</v>
      </c>
      <c r="Z38" s="206">
        <v>4.3979999999999997</v>
      </c>
      <c r="AA38" s="206">
        <v>13.614000000000001</v>
      </c>
      <c r="AB38" s="206">
        <v>5.8380000000000001</v>
      </c>
      <c r="AC38" s="208">
        <v>0.95099999999999996</v>
      </c>
      <c r="AD38" s="207">
        <v>0.59399999999999997</v>
      </c>
      <c r="AE38" s="207">
        <v>4.0960000000000001</v>
      </c>
      <c r="AF38" s="207">
        <v>0.26600000000000001</v>
      </c>
      <c r="AG38" s="206">
        <v>24.26</v>
      </c>
      <c r="AH38" s="207">
        <v>1.26</v>
      </c>
      <c r="AI38" s="207">
        <v>0.48599999999999999</v>
      </c>
      <c r="AJ38" s="208">
        <v>0</v>
      </c>
      <c r="AK38" s="206">
        <v>31.815000000000001</v>
      </c>
      <c r="AL38" s="206">
        <v>16.815000000000001</v>
      </c>
      <c r="AM38" s="206">
        <v>15</v>
      </c>
      <c r="AN38" s="206">
        <v>313.57299999999998</v>
      </c>
      <c r="AO38" s="206">
        <v>1104.4280000000001</v>
      </c>
      <c r="AP38" s="207">
        <v>0</v>
      </c>
      <c r="AQ38" s="206">
        <v>844.77</v>
      </c>
      <c r="AR38" s="206">
        <v>13.721</v>
      </c>
      <c r="AS38" s="207">
        <v>3.673</v>
      </c>
      <c r="AT38" s="207">
        <v>2.173</v>
      </c>
      <c r="AU38" s="207">
        <v>1.5</v>
      </c>
      <c r="AV38" s="207">
        <v>4.3090000000000002</v>
      </c>
      <c r="AW38" s="206">
        <v>170.78399999999999</v>
      </c>
      <c r="AX38" s="208">
        <v>0</v>
      </c>
      <c r="AY38" s="208">
        <v>1.036</v>
      </c>
      <c r="AZ38" s="207">
        <v>0</v>
      </c>
      <c r="BA38" s="207">
        <v>13.443</v>
      </c>
      <c r="BB38" s="208">
        <v>0</v>
      </c>
      <c r="BC38" s="208">
        <v>0</v>
      </c>
      <c r="BD38" s="209">
        <v>96</v>
      </c>
      <c r="BE38" s="216">
        <v>1098.375</v>
      </c>
      <c r="BF38" s="194"/>
      <c r="BG38" s="194"/>
      <c r="BH38" s="189"/>
    </row>
    <row r="39" spans="1:60">
      <c r="A39" s="218" t="s">
        <v>945</v>
      </c>
      <c r="B39" s="220" t="s">
        <v>1016</v>
      </c>
      <c r="C39" s="221">
        <v>457</v>
      </c>
      <c r="D39" s="222" t="s">
        <v>1440</v>
      </c>
      <c r="E39" s="222" t="s">
        <v>1444</v>
      </c>
      <c r="F39" s="231">
        <v>319.81799999999998</v>
      </c>
      <c r="G39" s="232">
        <v>25.128922350853632</v>
      </c>
      <c r="H39" s="181">
        <v>68.941573684437515</v>
      </c>
      <c r="I39" s="181">
        <v>5.9295039647088554</v>
      </c>
      <c r="J39" s="206">
        <v>20.393000000000001</v>
      </c>
      <c r="K39" s="206">
        <v>24.866</v>
      </c>
      <c r="L39" s="206">
        <v>24.855</v>
      </c>
      <c r="M39" s="206">
        <v>1.0999999999999999E-2</v>
      </c>
      <c r="N39" s="206">
        <v>4.8120000000000003</v>
      </c>
      <c r="O39" s="206">
        <v>4.5229999999999997</v>
      </c>
      <c r="P39" s="206">
        <v>0.28899999999999998</v>
      </c>
      <c r="Q39" s="206">
        <v>6.1390000000000002</v>
      </c>
      <c r="R39" s="207">
        <v>1.639</v>
      </c>
      <c r="S39" s="207">
        <v>4.3259999999999996</v>
      </c>
      <c r="T39" s="206">
        <v>235.36199999999999</v>
      </c>
      <c r="U39" s="206">
        <v>4.3170000000000002</v>
      </c>
      <c r="V39" s="206">
        <v>169.43799999999999</v>
      </c>
      <c r="W39" s="206">
        <v>0</v>
      </c>
      <c r="X39" s="206">
        <v>2033.25</v>
      </c>
      <c r="Y39" s="208">
        <v>0</v>
      </c>
      <c r="Z39" s="206">
        <v>26.190999999999999</v>
      </c>
      <c r="AA39" s="206">
        <v>57.075000000000003</v>
      </c>
      <c r="AB39" s="206">
        <v>142.58000000000001</v>
      </c>
      <c r="AC39" s="208">
        <v>0.42899999999999999</v>
      </c>
      <c r="AD39" s="207">
        <v>0.17299999999999999</v>
      </c>
      <c r="AE39" s="207">
        <v>1.732</v>
      </c>
      <c r="AF39" s="207">
        <v>0.312</v>
      </c>
      <c r="AG39" s="206">
        <v>97.825000000000003</v>
      </c>
      <c r="AH39" s="207">
        <v>1.4999999999999999E-2</v>
      </c>
      <c r="AI39" s="207">
        <v>0.76800000000000002</v>
      </c>
      <c r="AJ39" s="208">
        <v>0</v>
      </c>
      <c r="AK39" s="206">
        <v>33.917999999999999</v>
      </c>
      <c r="AL39" s="206">
        <v>32.979999999999997</v>
      </c>
      <c r="AM39" s="206">
        <v>0.93799999999999994</v>
      </c>
      <c r="AN39" s="206">
        <v>113.24299999999999</v>
      </c>
      <c r="AO39" s="206">
        <v>1001.01</v>
      </c>
      <c r="AP39" s="207">
        <v>3.0249999999999999</v>
      </c>
      <c r="AQ39" s="206">
        <v>767.6</v>
      </c>
      <c r="AR39" s="206">
        <v>15.568</v>
      </c>
      <c r="AS39" s="207">
        <v>1.528</v>
      </c>
      <c r="AT39" s="207">
        <v>1.4830000000000001</v>
      </c>
      <c r="AU39" s="207">
        <v>4.4999999999999998E-2</v>
      </c>
      <c r="AV39" s="207">
        <v>0.90300000000000002</v>
      </c>
      <c r="AW39" s="206">
        <v>85.863</v>
      </c>
      <c r="AX39" s="208">
        <v>0</v>
      </c>
      <c r="AY39" s="208">
        <v>0.316</v>
      </c>
      <c r="AZ39" s="207">
        <v>0</v>
      </c>
      <c r="BA39" s="207">
        <v>0.96299999999999997</v>
      </c>
      <c r="BB39" s="208">
        <v>0</v>
      </c>
      <c r="BC39" s="208">
        <v>2.8140000000000001</v>
      </c>
      <c r="BD39" s="209">
        <v>0.27</v>
      </c>
      <c r="BE39" s="216">
        <v>995.76</v>
      </c>
      <c r="BF39" s="195"/>
      <c r="BG39" s="195"/>
      <c r="BH39" s="189"/>
    </row>
    <row r="40" spans="1:60">
      <c r="A40" s="218" t="s">
        <v>946</v>
      </c>
      <c r="B40" s="220" t="s">
        <v>1017</v>
      </c>
      <c r="C40" s="221">
        <v>399.99999999999989</v>
      </c>
      <c r="D40" s="222" t="s">
        <v>1445</v>
      </c>
      <c r="E40" s="222" t="s">
        <v>1444</v>
      </c>
      <c r="F40" s="231">
        <v>289.5</v>
      </c>
      <c r="G40" s="232">
        <v>9.8332235359384228</v>
      </c>
      <c r="H40" s="181">
        <v>77.046565653063354</v>
      </c>
      <c r="I40" s="181">
        <v>13.120210810998234</v>
      </c>
      <c r="J40" s="206">
        <v>7.09</v>
      </c>
      <c r="K40" s="206">
        <v>24.69</v>
      </c>
      <c r="L40" s="206">
        <v>20.11</v>
      </c>
      <c r="M40" s="206">
        <v>4.58</v>
      </c>
      <c r="N40" s="206">
        <v>9.4600000000000009</v>
      </c>
      <c r="O40" s="206">
        <v>2.8050000000000002</v>
      </c>
      <c r="P40" s="206">
        <v>6.6550000000000002</v>
      </c>
      <c r="Q40" s="206">
        <v>9.43</v>
      </c>
      <c r="R40" s="207">
        <v>0.73</v>
      </c>
      <c r="S40" s="207">
        <v>1.98</v>
      </c>
      <c r="T40" s="206">
        <v>176.48500000000001</v>
      </c>
      <c r="U40" s="206">
        <v>2.2749999999999999</v>
      </c>
      <c r="V40" s="206">
        <v>211.23699999999999</v>
      </c>
      <c r="W40" s="206">
        <v>47.85</v>
      </c>
      <c r="X40" s="206">
        <v>1960.65</v>
      </c>
      <c r="Y40" s="208">
        <v>0.99</v>
      </c>
      <c r="Z40" s="206">
        <v>23.085000000000001</v>
      </c>
      <c r="AA40" s="206">
        <v>283.03500000000003</v>
      </c>
      <c r="AB40" s="206">
        <v>7</v>
      </c>
      <c r="AC40" s="208">
        <v>0.219</v>
      </c>
      <c r="AD40" s="207">
        <v>0.57799999999999996</v>
      </c>
      <c r="AE40" s="207">
        <v>1.6950000000000001</v>
      </c>
      <c r="AF40" s="207">
        <v>0.27600000000000002</v>
      </c>
      <c r="AG40" s="206">
        <v>202.785</v>
      </c>
      <c r="AH40" s="207">
        <v>0.73</v>
      </c>
      <c r="AI40" s="207">
        <v>0.98799999999999999</v>
      </c>
      <c r="AJ40" s="208">
        <v>0</v>
      </c>
      <c r="AK40" s="206">
        <v>69.7</v>
      </c>
      <c r="AL40" s="206">
        <v>39.85</v>
      </c>
      <c r="AM40" s="206">
        <v>29.85</v>
      </c>
      <c r="AN40" s="206">
        <v>163.15</v>
      </c>
      <c r="AO40" s="206">
        <v>300.89999999999998</v>
      </c>
      <c r="AP40" s="207">
        <v>0</v>
      </c>
      <c r="AQ40" s="206">
        <v>609.9</v>
      </c>
      <c r="AR40" s="206">
        <v>30.04</v>
      </c>
      <c r="AS40" s="207">
        <v>1.7749999999999999</v>
      </c>
      <c r="AT40" s="207">
        <v>0.78</v>
      </c>
      <c r="AU40" s="207">
        <v>0.995</v>
      </c>
      <c r="AV40" s="207">
        <v>0.80900000000000005</v>
      </c>
      <c r="AW40" s="206">
        <v>195.22</v>
      </c>
      <c r="AX40" s="208">
        <v>1E-3</v>
      </c>
      <c r="AY40" s="208">
        <v>2.5680000000000001</v>
      </c>
      <c r="AZ40" s="207">
        <v>14.08</v>
      </c>
      <c r="BA40" s="207">
        <v>17.655000000000001</v>
      </c>
      <c r="BB40" s="208">
        <v>0</v>
      </c>
      <c r="BC40" s="208">
        <v>0</v>
      </c>
      <c r="BD40" s="209">
        <v>217.965</v>
      </c>
      <c r="BE40" s="216">
        <v>225</v>
      </c>
      <c r="BF40" s="196"/>
      <c r="BG40" s="196"/>
      <c r="BH40" s="189"/>
    </row>
    <row r="41" spans="1:60">
      <c r="A41" s="218" t="s">
        <v>947</v>
      </c>
      <c r="B41" s="220" t="s">
        <v>1018</v>
      </c>
      <c r="C41" s="221">
        <v>439.45439811144593</v>
      </c>
      <c r="D41" s="222" t="s">
        <v>1471</v>
      </c>
      <c r="E41" s="222" t="s">
        <v>13</v>
      </c>
      <c r="F41" s="231">
        <v>350.01</v>
      </c>
      <c r="G41" s="232">
        <v>12.049466229785438</v>
      </c>
      <c r="H41" s="181">
        <v>65.131392887444051</v>
      </c>
      <c r="I41" s="181">
        <v>22.819140882770522</v>
      </c>
      <c r="J41" s="206">
        <v>10.545</v>
      </c>
      <c r="K41" s="206">
        <v>25.332999999999998</v>
      </c>
      <c r="L41" s="206">
        <v>24.591000000000001</v>
      </c>
      <c r="M41" s="206">
        <v>0.74199999999999999</v>
      </c>
      <c r="N41" s="206">
        <v>19.97</v>
      </c>
      <c r="O41" s="206">
        <v>3.3130000000000002</v>
      </c>
      <c r="P41" s="206">
        <v>16.658000000000001</v>
      </c>
      <c r="Q41" s="206">
        <v>6.4640000000000004</v>
      </c>
      <c r="R41" s="207">
        <v>0.38200000000000001</v>
      </c>
      <c r="S41" s="207">
        <v>1.7030000000000001</v>
      </c>
      <c r="T41" s="206">
        <v>178.363</v>
      </c>
      <c r="U41" s="206">
        <v>4.3280000000000003</v>
      </c>
      <c r="V41" s="206">
        <v>63.747</v>
      </c>
      <c r="W41" s="206">
        <v>0</v>
      </c>
      <c r="X41" s="206">
        <v>764.95899999999995</v>
      </c>
      <c r="Y41" s="208">
        <v>3.04</v>
      </c>
      <c r="Z41" s="206">
        <v>21.094999999999999</v>
      </c>
      <c r="AA41" s="206">
        <v>93.888999999999996</v>
      </c>
      <c r="AB41" s="206">
        <v>17.03</v>
      </c>
      <c r="AC41" s="208">
        <v>0.153</v>
      </c>
      <c r="AD41" s="207">
        <v>0.215</v>
      </c>
      <c r="AE41" s="207">
        <v>2.9820000000000002</v>
      </c>
      <c r="AF41" s="207">
        <v>0.25700000000000001</v>
      </c>
      <c r="AG41" s="206">
        <v>96.436999999999998</v>
      </c>
      <c r="AH41" s="207">
        <v>0.95899999999999996</v>
      </c>
      <c r="AI41" s="207">
        <v>0.41599999999999998</v>
      </c>
      <c r="AJ41" s="208">
        <v>0</v>
      </c>
      <c r="AK41" s="206">
        <v>150.30500000000001</v>
      </c>
      <c r="AL41" s="206">
        <v>86.83</v>
      </c>
      <c r="AM41" s="206">
        <v>63.475000000000001</v>
      </c>
      <c r="AN41" s="206">
        <v>295.678</v>
      </c>
      <c r="AO41" s="206">
        <v>997.00699999999995</v>
      </c>
      <c r="AP41" s="207">
        <v>0</v>
      </c>
      <c r="AQ41" s="206">
        <v>533.13900000000001</v>
      </c>
      <c r="AR41" s="206">
        <v>20.454000000000001</v>
      </c>
      <c r="AS41" s="207">
        <v>3.7160000000000002</v>
      </c>
      <c r="AT41" s="207">
        <v>1.546</v>
      </c>
      <c r="AU41" s="207">
        <v>2.17</v>
      </c>
      <c r="AV41" s="207">
        <v>1.61</v>
      </c>
      <c r="AW41" s="206">
        <v>366.27</v>
      </c>
      <c r="AX41" s="208">
        <v>0</v>
      </c>
      <c r="AY41" s="208">
        <v>1.0760000000000001</v>
      </c>
      <c r="AZ41" s="207">
        <v>0.36</v>
      </c>
      <c r="BA41" s="207">
        <v>32.218000000000004</v>
      </c>
      <c r="BB41" s="208">
        <v>0</v>
      </c>
      <c r="BC41" s="208">
        <v>0</v>
      </c>
      <c r="BD41" s="209">
        <v>127.36499999999999</v>
      </c>
      <c r="BE41" s="216">
        <v>889.35</v>
      </c>
      <c r="BF41" s="197"/>
      <c r="BG41" s="197"/>
      <c r="BH41" s="189"/>
    </row>
    <row r="42" spans="1:60">
      <c r="A42" s="218" t="s">
        <v>1446</v>
      </c>
      <c r="B42" s="220" t="s">
        <v>1019</v>
      </c>
      <c r="C42" s="221">
        <v>388.95089285714283</v>
      </c>
      <c r="D42" s="222"/>
      <c r="E42" s="222" t="s">
        <v>1443</v>
      </c>
      <c r="F42" s="231">
        <v>357.35500000000002</v>
      </c>
      <c r="G42" s="232">
        <v>65.919330410085479</v>
      </c>
      <c r="H42" s="181">
        <v>15.477419690566634</v>
      </c>
      <c r="I42" s="181">
        <v>18.603249899347883</v>
      </c>
      <c r="J42" s="206">
        <v>60.170999999999999</v>
      </c>
      <c r="K42" s="206">
        <v>6.2789999999999999</v>
      </c>
      <c r="L42" s="206">
        <v>5.07</v>
      </c>
      <c r="M42" s="206">
        <v>1.2090000000000001</v>
      </c>
      <c r="N42" s="206">
        <v>16.981000000000002</v>
      </c>
      <c r="O42" s="206">
        <v>9.1199999999999992</v>
      </c>
      <c r="P42" s="206">
        <v>7.8609999999999998</v>
      </c>
      <c r="Q42" s="206">
        <v>14.282</v>
      </c>
      <c r="R42" s="207">
        <v>3.12</v>
      </c>
      <c r="S42" s="207">
        <v>8.16</v>
      </c>
      <c r="T42" s="206">
        <v>274.91000000000003</v>
      </c>
      <c r="U42" s="206">
        <v>2.8290000000000002</v>
      </c>
      <c r="V42" s="206">
        <v>44.356000000000002</v>
      </c>
      <c r="W42" s="206">
        <v>40.816000000000003</v>
      </c>
      <c r="X42" s="206">
        <v>42.475999999999999</v>
      </c>
      <c r="Y42" s="208">
        <v>0</v>
      </c>
      <c r="Z42" s="206">
        <v>0.72099999999999997</v>
      </c>
      <c r="AA42" s="206">
        <v>6.7320000000000002</v>
      </c>
      <c r="AB42" s="206">
        <v>123</v>
      </c>
      <c r="AC42" s="208">
        <v>1.7110000000000001</v>
      </c>
      <c r="AD42" s="207">
        <v>0.223</v>
      </c>
      <c r="AE42" s="207">
        <v>2.319</v>
      </c>
      <c r="AF42" s="207">
        <v>0.17100000000000001</v>
      </c>
      <c r="AG42" s="206">
        <v>245.977</v>
      </c>
      <c r="AH42" s="207">
        <v>0.78600000000000003</v>
      </c>
      <c r="AI42" s="207">
        <v>0.188</v>
      </c>
      <c r="AJ42" s="208">
        <v>0.57599999999999996</v>
      </c>
      <c r="AK42" s="206">
        <v>209.69300000000001</v>
      </c>
      <c r="AL42" s="206">
        <v>55.5</v>
      </c>
      <c r="AM42" s="206">
        <v>154.19300000000001</v>
      </c>
      <c r="AN42" s="206">
        <v>400.61799999999999</v>
      </c>
      <c r="AO42" s="206">
        <v>76.45</v>
      </c>
      <c r="AP42" s="207">
        <v>0</v>
      </c>
      <c r="AQ42" s="206">
        <v>663.34400000000005</v>
      </c>
      <c r="AR42" s="206">
        <v>132.9</v>
      </c>
      <c r="AS42" s="207">
        <v>4.9870000000000001</v>
      </c>
      <c r="AT42" s="207">
        <v>4.08</v>
      </c>
      <c r="AU42" s="207">
        <v>0.90700000000000003</v>
      </c>
      <c r="AV42" s="207">
        <v>2.165</v>
      </c>
      <c r="AW42" s="206">
        <v>359.36700000000002</v>
      </c>
      <c r="AX42" s="208">
        <v>6.0000000000000001E-3</v>
      </c>
      <c r="AY42" s="208">
        <v>0.75</v>
      </c>
      <c r="AZ42" s="207">
        <v>49.231999999999999</v>
      </c>
      <c r="BA42" s="207">
        <v>25.233000000000001</v>
      </c>
      <c r="BB42" s="208">
        <v>0</v>
      </c>
      <c r="BC42" s="208">
        <v>0</v>
      </c>
      <c r="BD42" s="209">
        <v>18.14</v>
      </c>
      <c r="BE42" s="216">
        <v>0</v>
      </c>
    </row>
    <row r="43" spans="1:60" ht="22.5">
      <c r="A43" s="218" t="s">
        <v>948</v>
      </c>
      <c r="B43" s="227" t="s">
        <v>1020</v>
      </c>
      <c r="C43" s="221">
        <v>409.96719160104988</v>
      </c>
      <c r="D43" s="222"/>
      <c r="E43" s="222" t="s">
        <v>949</v>
      </c>
      <c r="F43" s="231">
        <v>322.75700000000001</v>
      </c>
      <c r="G43" s="232">
        <v>47.309885792197512</v>
      </c>
      <c r="H43" s="181">
        <v>33.633391487926815</v>
      </c>
      <c r="I43" s="181">
        <v>19.056722719875676</v>
      </c>
      <c r="J43" s="206">
        <v>40.337000000000003</v>
      </c>
      <c r="K43" s="206">
        <v>12.744999999999999</v>
      </c>
      <c r="L43" s="206">
        <v>5.9160000000000004</v>
      </c>
      <c r="M43" s="206">
        <v>6.8289999999999997</v>
      </c>
      <c r="N43" s="206">
        <v>16.248000000000001</v>
      </c>
      <c r="O43" s="206">
        <v>7.0460000000000003</v>
      </c>
      <c r="P43" s="206">
        <v>9.2029999999999994</v>
      </c>
      <c r="Q43" s="206">
        <v>7.923</v>
      </c>
      <c r="R43" s="207">
        <v>1.823</v>
      </c>
      <c r="S43" s="207">
        <v>4.2569999999999997</v>
      </c>
      <c r="T43" s="206">
        <v>274.37700000000001</v>
      </c>
      <c r="U43" s="206">
        <v>4.383</v>
      </c>
      <c r="V43" s="206">
        <v>95.155000000000001</v>
      </c>
      <c r="W43" s="206">
        <v>54.225999999999999</v>
      </c>
      <c r="X43" s="206">
        <v>491.14800000000002</v>
      </c>
      <c r="Y43" s="208">
        <v>7.9000000000000001E-2</v>
      </c>
      <c r="Z43" s="206">
        <v>4.4000000000000004</v>
      </c>
      <c r="AA43" s="206">
        <v>113.54300000000001</v>
      </c>
      <c r="AB43" s="206">
        <v>49.521000000000001</v>
      </c>
      <c r="AC43" s="208">
        <v>0.63800000000000001</v>
      </c>
      <c r="AD43" s="207">
        <v>0.33900000000000002</v>
      </c>
      <c r="AE43" s="207">
        <v>2.1739999999999999</v>
      </c>
      <c r="AF43" s="207">
        <v>0.438</v>
      </c>
      <c r="AG43" s="206">
        <v>146.39699999999999</v>
      </c>
      <c r="AH43" s="207">
        <v>0.215</v>
      </c>
      <c r="AI43" s="207">
        <v>0.52800000000000002</v>
      </c>
      <c r="AJ43" s="208">
        <v>3.9E-2</v>
      </c>
      <c r="AK43" s="206">
        <v>323.25200000000001</v>
      </c>
      <c r="AL43" s="206">
        <v>70.33</v>
      </c>
      <c r="AM43" s="206">
        <v>252.922</v>
      </c>
      <c r="AN43" s="206">
        <v>321.86900000000003</v>
      </c>
      <c r="AO43" s="206">
        <v>440.798</v>
      </c>
      <c r="AP43" s="207">
        <v>4.625</v>
      </c>
      <c r="AQ43" s="206">
        <v>714.71799999999996</v>
      </c>
      <c r="AR43" s="206">
        <v>38.484000000000002</v>
      </c>
      <c r="AS43" s="207">
        <v>2.6309999999999998</v>
      </c>
      <c r="AT43" s="207">
        <v>2.3530000000000002</v>
      </c>
      <c r="AU43" s="207">
        <v>0.27800000000000002</v>
      </c>
      <c r="AV43" s="207">
        <v>4.0270000000000001</v>
      </c>
      <c r="AW43" s="206">
        <v>203.518</v>
      </c>
      <c r="AX43" s="208">
        <v>2E-3</v>
      </c>
      <c r="AY43" s="208">
        <v>0.55600000000000005</v>
      </c>
      <c r="AZ43" s="207">
        <v>1.5760000000000001</v>
      </c>
      <c r="BA43" s="207">
        <v>2.6309999999999998</v>
      </c>
      <c r="BB43" s="208">
        <v>0</v>
      </c>
      <c r="BC43" s="208">
        <v>2.7930000000000001</v>
      </c>
      <c r="BD43" s="209">
        <v>37.311999999999998</v>
      </c>
      <c r="BE43" s="216">
        <v>60.475000000000001</v>
      </c>
      <c r="BF43" s="188"/>
      <c r="BG43" s="188"/>
      <c r="BH43" s="189"/>
    </row>
    <row r="44" spans="1:60" ht="22.5">
      <c r="A44" s="218" t="s">
        <v>950</v>
      </c>
      <c r="B44" s="227" t="s">
        <v>1021</v>
      </c>
      <c r="C44" s="221">
        <v>268.14765694076038</v>
      </c>
      <c r="D44" s="222" t="s">
        <v>142</v>
      </c>
      <c r="E44" s="222" t="s">
        <v>49</v>
      </c>
      <c r="F44" s="231">
        <v>1233.4580000000001</v>
      </c>
      <c r="G44" s="232">
        <v>24.703062888960105</v>
      </c>
      <c r="H44" s="181">
        <v>50.957421873131437</v>
      </c>
      <c r="I44" s="181">
        <v>24.339515237908451</v>
      </c>
      <c r="J44" s="206">
        <v>77.462999999999994</v>
      </c>
      <c r="K44" s="206">
        <v>71.018000000000001</v>
      </c>
      <c r="L44" s="206">
        <v>48.488</v>
      </c>
      <c r="M44" s="206">
        <v>22.53</v>
      </c>
      <c r="N44" s="206">
        <v>76.322999999999993</v>
      </c>
      <c r="O44" s="206">
        <v>51.524999999999999</v>
      </c>
      <c r="P44" s="206">
        <v>24.797000000000001</v>
      </c>
      <c r="Q44" s="206">
        <v>36.567</v>
      </c>
      <c r="R44" s="207">
        <v>5.2320000000000002</v>
      </c>
      <c r="S44" s="207">
        <v>16.949000000000002</v>
      </c>
      <c r="T44" s="206">
        <v>339.80900000000003</v>
      </c>
      <c r="U44" s="206">
        <v>10.869</v>
      </c>
      <c r="V44" s="206">
        <v>41.973999999999997</v>
      </c>
      <c r="W44" s="206">
        <v>8.5020000000000007</v>
      </c>
      <c r="X44" s="206">
        <v>401.67</v>
      </c>
      <c r="Y44" s="208">
        <v>0</v>
      </c>
      <c r="Z44" s="206">
        <v>9.7520000000000007</v>
      </c>
      <c r="AA44" s="206">
        <v>129.30199999999999</v>
      </c>
      <c r="AB44" s="206">
        <v>38.228999999999999</v>
      </c>
      <c r="AC44" s="208">
        <v>0.79600000000000004</v>
      </c>
      <c r="AD44" s="207">
        <v>0.80800000000000005</v>
      </c>
      <c r="AE44" s="207">
        <v>10.297000000000001</v>
      </c>
      <c r="AF44" s="207">
        <v>1.169</v>
      </c>
      <c r="AG44" s="206">
        <v>299.67</v>
      </c>
      <c r="AH44" s="207">
        <v>0</v>
      </c>
      <c r="AI44" s="207">
        <v>0.25</v>
      </c>
      <c r="AJ44" s="208">
        <v>0.13800000000000001</v>
      </c>
      <c r="AK44" s="206">
        <v>418.62099999999998</v>
      </c>
      <c r="AL44" s="206">
        <v>397.36599999999999</v>
      </c>
      <c r="AM44" s="206">
        <v>21.254999999999999</v>
      </c>
      <c r="AN44" s="206">
        <v>1216.499</v>
      </c>
      <c r="AO44" s="206">
        <v>227.309</v>
      </c>
      <c r="AP44" s="207">
        <v>6.4980000000000002</v>
      </c>
      <c r="AQ44" s="206">
        <v>3025.424</v>
      </c>
      <c r="AR44" s="206">
        <v>52.915999999999997</v>
      </c>
      <c r="AS44" s="207">
        <v>13.974</v>
      </c>
      <c r="AT44" s="207">
        <v>11.707000000000001</v>
      </c>
      <c r="AU44" s="207">
        <v>2.2669999999999999</v>
      </c>
      <c r="AV44" s="207">
        <v>11.161</v>
      </c>
      <c r="AW44" s="206">
        <v>235.738</v>
      </c>
      <c r="AX44" s="208">
        <v>3.4000000000000002E-2</v>
      </c>
      <c r="AY44" s="208">
        <v>0.36799999999999999</v>
      </c>
      <c r="AZ44" s="207">
        <v>0</v>
      </c>
      <c r="BA44" s="207">
        <v>28.887</v>
      </c>
      <c r="BB44" s="208">
        <v>0</v>
      </c>
      <c r="BC44" s="208">
        <v>4.5810000000000004</v>
      </c>
      <c r="BD44" s="209">
        <v>90.742000000000004</v>
      </c>
      <c r="BE44" s="216">
        <v>131.02799999999999</v>
      </c>
      <c r="BF44" s="190"/>
      <c r="BG44" s="190"/>
      <c r="BH44" s="189"/>
    </row>
    <row r="45" spans="1:60" ht="22.5">
      <c r="A45" s="218" t="s">
        <v>951</v>
      </c>
      <c r="B45" s="227" t="s">
        <v>1022</v>
      </c>
      <c r="C45" s="221">
        <v>361.26516464471399</v>
      </c>
      <c r="D45" s="222"/>
      <c r="E45" s="222" t="s">
        <v>59</v>
      </c>
      <c r="F45" s="231">
        <v>506.322</v>
      </c>
      <c r="G45" s="232">
        <v>46.699881982919493</v>
      </c>
      <c r="H45" s="181">
        <v>25.657378392991063</v>
      </c>
      <c r="I45" s="181">
        <v>27.642739624089437</v>
      </c>
      <c r="J45" s="206">
        <v>60.246000000000002</v>
      </c>
      <c r="K45" s="206">
        <v>14.711</v>
      </c>
      <c r="L45" s="206">
        <v>10.372999999999999</v>
      </c>
      <c r="M45" s="206">
        <v>4.3380000000000001</v>
      </c>
      <c r="N45" s="206">
        <v>35.661000000000001</v>
      </c>
      <c r="O45" s="206">
        <v>5.226</v>
      </c>
      <c r="P45" s="206">
        <v>30.434999999999999</v>
      </c>
      <c r="Q45" s="206">
        <v>9.3309999999999995</v>
      </c>
      <c r="R45" s="207">
        <v>1.363</v>
      </c>
      <c r="S45" s="207">
        <v>4.0549999999999997</v>
      </c>
      <c r="T45" s="206">
        <v>383.93599999999998</v>
      </c>
      <c r="U45" s="206">
        <v>4.3550000000000004</v>
      </c>
      <c r="V45" s="206">
        <v>61.91</v>
      </c>
      <c r="W45" s="206">
        <v>39.667999999999999</v>
      </c>
      <c r="X45" s="206">
        <v>266.90300000000002</v>
      </c>
      <c r="Y45" s="208">
        <v>45.344000000000001</v>
      </c>
      <c r="Z45" s="206">
        <v>3.9380000000000002</v>
      </c>
      <c r="AA45" s="206">
        <v>155.52199999999999</v>
      </c>
      <c r="AB45" s="206">
        <v>74.53</v>
      </c>
      <c r="AC45" s="208">
        <v>0.54800000000000004</v>
      </c>
      <c r="AD45" s="207">
        <v>0.35299999999999998</v>
      </c>
      <c r="AE45" s="207">
        <v>11.763999999999999</v>
      </c>
      <c r="AF45" s="207">
        <v>1.2130000000000001</v>
      </c>
      <c r="AG45" s="206">
        <v>189.32900000000001</v>
      </c>
      <c r="AH45" s="207">
        <v>8.4179999999999993</v>
      </c>
      <c r="AI45" s="207">
        <v>1.5680000000000001</v>
      </c>
      <c r="AJ45" s="208">
        <v>0.245</v>
      </c>
      <c r="AK45" s="206">
        <v>129.846</v>
      </c>
      <c r="AL45" s="206">
        <v>61.634</v>
      </c>
      <c r="AM45" s="206">
        <v>68.212000000000003</v>
      </c>
      <c r="AN45" s="206">
        <v>507.012</v>
      </c>
      <c r="AO45" s="206">
        <v>316.24799999999999</v>
      </c>
      <c r="AP45" s="207">
        <v>49.3</v>
      </c>
      <c r="AQ45" s="206">
        <v>1097.5139999999999</v>
      </c>
      <c r="AR45" s="206">
        <v>32.723999999999997</v>
      </c>
      <c r="AS45" s="207">
        <v>3.794</v>
      </c>
      <c r="AT45" s="207">
        <v>2.2149999999999999</v>
      </c>
      <c r="AU45" s="207">
        <v>1.579</v>
      </c>
      <c r="AV45" s="207">
        <v>1.954</v>
      </c>
      <c r="AW45" s="206">
        <v>278.89800000000002</v>
      </c>
      <c r="AX45" s="208">
        <v>3.0000000000000001E-3</v>
      </c>
      <c r="AY45" s="208">
        <v>0.91400000000000003</v>
      </c>
      <c r="AZ45" s="207">
        <v>50.365000000000002</v>
      </c>
      <c r="BA45" s="207">
        <v>53.98</v>
      </c>
      <c r="BB45" s="208">
        <v>0</v>
      </c>
      <c r="BC45" s="208">
        <v>0.1</v>
      </c>
      <c r="BD45" s="209">
        <v>101.325</v>
      </c>
      <c r="BE45" s="216">
        <v>0</v>
      </c>
      <c r="BF45" s="191"/>
      <c r="BG45" s="191"/>
      <c r="BH45" s="189"/>
    </row>
    <row r="46" spans="1:60" ht="22.5">
      <c r="A46" s="218" t="s">
        <v>952</v>
      </c>
      <c r="B46" s="227" t="s">
        <v>1023</v>
      </c>
      <c r="C46" s="221">
        <v>423.70483239007405</v>
      </c>
      <c r="D46" s="222"/>
      <c r="E46" s="222" t="s">
        <v>949</v>
      </c>
      <c r="F46" s="231">
        <v>753.87</v>
      </c>
      <c r="G46" s="232">
        <v>63.052402276748929</v>
      </c>
      <c r="H46" s="181">
        <v>20.342406684596174</v>
      </c>
      <c r="I46" s="181">
        <v>16.605191038654905</v>
      </c>
      <c r="J46" s="206">
        <v>123.377</v>
      </c>
      <c r="K46" s="206">
        <v>17.690999999999999</v>
      </c>
      <c r="L46" s="206">
        <v>16.404</v>
      </c>
      <c r="M46" s="206">
        <v>1.2869999999999999</v>
      </c>
      <c r="N46" s="206">
        <v>32.491999999999997</v>
      </c>
      <c r="O46" s="206">
        <v>30.76</v>
      </c>
      <c r="P46" s="206">
        <v>1.7330000000000001</v>
      </c>
      <c r="Q46" s="206">
        <v>19.614999999999998</v>
      </c>
      <c r="R46" s="207">
        <v>1.089</v>
      </c>
      <c r="S46" s="207">
        <v>4.6219999999999999</v>
      </c>
      <c r="T46" s="206">
        <v>450.55399999999997</v>
      </c>
      <c r="U46" s="206">
        <v>6.7759999999999998</v>
      </c>
      <c r="V46" s="206">
        <v>290.20100000000002</v>
      </c>
      <c r="W46" s="206">
        <v>10.035</v>
      </c>
      <c r="X46" s="206">
        <v>3361.9920000000002</v>
      </c>
      <c r="Y46" s="208">
        <v>0</v>
      </c>
      <c r="Z46" s="206">
        <v>3.4910000000000001</v>
      </c>
      <c r="AA46" s="206">
        <v>303.185</v>
      </c>
      <c r="AB46" s="206">
        <v>139.262</v>
      </c>
      <c r="AC46" s="208">
        <v>0.66400000000000003</v>
      </c>
      <c r="AD46" s="207">
        <v>0.67100000000000004</v>
      </c>
      <c r="AE46" s="207">
        <v>5.2080000000000002</v>
      </c>
      <c r="AF46" s="207">
        <v>0.45800000000000002</v>
      </c>
      <c r="AG46" s="206">
        <v>318.45299999999997</v>
      </c>
      <c r="AH46" s="207">
        <v>3.2000000000000001E-2</v>
      </c>
      <c r="AI46" s="207">
        <v>0.32800000000000001</v>
      </c>
      <c r="AJ46" s="208">
        <v>0.34599999999999997</v>
      </c>
      <c r="AK46" s="206">
        <v>438.62</v>
      </c>
      <c r="AL46" s="206">
        <v>388.71499999999997</v>
      </c>
      <c r="AM46" s="206">
        <v>49.905000000000001</v>
      </c>
      <c r="AN46" s="206">
        <v>550.90700000000004</v>
      </c>
      <c r="AO46" s="206">
        <v>199.53200000000001</v>
      </c>
      <c r="AP46" s="207">
        <v>41.246000000000002</v>
      </c>
      <c r="AQ46" s="206">
        <v>1982.0129999999999</v>
      </c>
      <c r="AR46" s="206">
        <v>92.105000000000004</v>
      </c>
      <c r="AS46" s="207">
        <v>7.42</v>
      </c>
      <c r="AT46" s="207">
        <v>7.3789999999999996</v>
      </c>
      <c r="AU46" s="207">
        <v>4.1000000000000002E-2</v>
      </c>
      <c r="AV46" s="207">
        <v>2.2730000000000001</v>
      </c>
      <c r="AW46" s="206">
        <v>454.08300000000003</v>
      </c>
      <c r="AX46" s="208">
        <v>5.3999999999999999E-2</v>
      </c>
      <c r="AY46" s="208">
        <v>0.58899999999999997</v>
      </c>
      <c r="AZ46" s="207">
        <v>3.569</v>
      </c>
      <c r="BA46" s="207">
        <v>48.366999999999997</v>
      </c>
      <c r="BB46" s="208">
        <v>0</v>
      </c>
      <c r="BC46" s="208">
        <v>0.26800000000000002</v>
      </c>
      <c r="BD46" s="209">
        <v>3.96</v>
      </c>
      <c r="BE46" s="216">
        <v>40.316000000000003</v>
      </c>
      <c r="BF46" s="192"/>
      <c r="BG46" s="192"/>
      <c r="BH46" s="189"/>
    </row>
    <row r="47" spans="1:60">
      <c r="A47" s="218" t="s">
        <v>953</v>
      </c>
      <c r="B47" s="227" t="s">
        <v>1024</v>
      </c>
      <c r="C47" s="221">
        <v>398.86544134331746</v>
      </c>
      <c r="D47" s="222"/>
      <c r="E47" s="222" t="s">
        <v>59</v>
      </c>
      <c r="F47" s="231">
        <v>180.31399999999999</v>
      </c>
      <c r="G47" s="232">
        <v>55.502632238656304</v>
      </c>
      <c r="H47" s="181">
        <v>33.126968729222753</v>
      </c>
      <c r="I47" s="181">
        <v>11.370399032120941</v>
      </c>
      <c r="J47" s="206">
        <v>25.460999999999999</v>
      </c>
      <c r="K47" s="206">
        <v>6.7539999999999996</v>
      </c>
      <c r="L47" s="206">
        <v>6.7539999999999996</v>
      </c>
      <c r="M47" s="206">
        <v>0</v>
      </c>
      <c r="N47" s="206">
        <v>5.2160000000000002</v>
      </c>
      <c r="O47" s="206">
        <v>5.2160000000000002</v>
      </c>
      <c r="P47" s="206">
        <v>0</v>
      </c>
      <c r="Q47" s="206">
        <v>6.6849999999999996</v>
      </c>
      <c r="R47" s="207">
        <v>2.056</v>
      </c>
      <c r="S47" s="207">
        <v>4.21</v>
      </c>
      <c r="T47" s="206">
        <v>172.74100000000001</v>
      </c>
      <c r="U47" s="206">
        <v>2.1059999999999999</v>
      </c>
      <c r="V47" s="206">
        <v>898.12199999999996</v>
      </c>
      <c r="W47" s="206">
        <v>8.141</v>
      </c>
      <c r="X47" s="206">
        <v>10679.777</v>
      </c>
      <c r="Y47" s="208">
        <v>0</v>
      </c>
      <c r="Z47" s="206">
        <v>0.98799999999999999</v>
      </c>
      <c r="AA47" s="206">
        <v>21.75</v>
      </c>
      <c r="AB47" s="206">
        <v>17.306999999999999</v>
      </c>
      <c r="AC47" s="208">
        <v>0.30499999999999999</v>
      </c>
      <c r="AD47" s="207">
        <v>0.16800000000000001</v>
      </c>
      <c r="AE47" s="207">
        <v>2.081</v>
      </c>
      <c r="AF47" s="207">
        <v>0.245</v>
      </c>
      <c r="AG47" s="206">
        <v>108.10299999999999</v>
      </c>
      <c r="AH47" s="207">
        <v>0.25800000000000001</v>
      </c>
      <c r="AI47" s="207">
        <v>0.57199999999999995</v>
      </c>
      <c r="AJ47" s="208">
        <v>0</v>
      </c>
      <c r="AK47" s="206">
        <v>88.078999999999994</v>
      </c>
      <c r="AL47" s="206">
        <v>88.078999999999994</v>
      </c>
      <c r="AM47" s="206">
        <v>0</v>
      </c>
      <c r="AN47" s="206">
        <v>110.627</v>
      </c>
      <c r="AO47" s="206">
        <v>299.93</v>
      </c>
      <c r="AP47" s="207">
        <v>3.0859999999999999</v>
      </c>
      <c r="AQ47" s="206">
        <v>713.43200000000002</v>
      </c>
      <c r="AR47" s="206">
        <v>7.7610000000000001</v>
      </c>
      <c r="AS47" s="207">
        <v>1.6850000000000001</v>
      </c>
      <c r="AT47" s="207">
        <v>1.6850000000000001</v>
      </c>
      <c r="AU47" s="207">
        <v>0</v>
      </c>
      <c r="AV47" s="207">
        <v>1.296</v>
      </c>
      <c r="AW47" s="206">
        <v>30.945</v>
      </c>
      <c r="AX47" s="208">
        <v>0</v>
      </c>
      <c r="AY47" s="208">
        <v>0.11</v>
      </c>
      <c r="AZ47" s="207">
        <v>0</v>
      </c>
      <c r="BA47" s="207">
        <v>9.8230000000000004</v>
      </c>
      <c r="BB47" s="208">
        <v>0</v>
      </c>
      <c r="BC47" s="208">
        <v>1.3420000000000001</v>
      </c>
      <c r="BD47" s="209">
        <v>13.21</v>
      </c>
      <c r="BE47" s="216">
        <v>171.345</v>
      </c>
      <c r="BF47" s="193"/>
      <c r="BG47" s="193"/>
      <c r="BH47" s="189"/>
    </row>
    <row r="48" spans="1:60" ht="33.75">
      <c r="A48" s="218" t="s">
        <v>954</v>
      </c>
      <c r="B48" s="227" t="s">
        <v>1025</v>
      </c>
      <c r="C48" s="221">
        <v>305.00782472613457</v>
      </c>
      <c r="D48" s="222"/>
      <c r="E48" s="222" t="s">
        <v>1469</v>
      </c>
      <c r="F48" s="231">
        <v>465.92200000000003</v>
      </c>
      <c r="G48" s="232">
        <v>38.880617057161579</v>
      </c>
      <c r="H48" s="181">
        <v>41.03064874794547</v>
      </c>
      <c r="I48" s="181">
        <v>20.08873419489295</v>
      </c>
      <c r="J48" s="206">
        <v>45.241</v>
      </c>
      <c r="K48" s="206">
        <v>21.219000000000001</v>
      </c>
      <c r="L48" s="206">
        <v>8.8059999999999992</v>
      </c>
      <c r="M48" s="206">
        <v>12.413</v>
      </c>
      <c r="N48" s="206">
        <v>23.375</v>
      </c>
      <c r="O48" s="206">
        <v>8.3469999999999995</v>
      </c>
      <c r="P48" s="206">
        <v>15.028</v>
      </c>
      <c r="Q48" s="206">
        <v>5.2359999999999998</v>
      </c>
      <c r="R48" s="207">
        <v>1.01</v>
      </c>
      <c r="S48" s="207">
        <v>2.286</v>
      </c>
      <c r="T48" s="206">
        <v>175.85900000000001</v>
      </c>
      <c r="U48" s="206">
        <v>5.3470000000000004</v>
      </c>
      <c r="V48" s="206">
        <v>272.83199999999999</v>
      </c>
      <c r="W48" s="206">
        <v>173.42400000000001</v>
      </c>
      <c r="X48" s="206">
        <v>1192.8910000000001</v>
      </c>
      <c r="Y48" s="208">
        <v>1.0580000000000001</v>
      </c>
      <c r="Z48" s="206">
        <v>3.8090000000000002</v>
      </c>
      <c r="AA48" s="206">
        <v>83.753</v>
      </c>
      <c r="AB48" s="206">
        <v>48.951000000000001</v>
      </c>
      <c r="AC48" s="208">
        <v>0.41799999999999998</v>
      </c>
      <c r="AD48" s="207">
        <v>0.86199999999999999</v>
      </c>
      <c r="AE48" s="207">
        <v>3.37</v>
      </c>
      <c r="AF48" s="207">
        <v>0.23899999999999999</v>
      </c>
      <c r="AG48" s="206">
        <v>182.50800000000001</v>
      </c>
      <c r="AH48" s="207">
        <v>1.504</v>
      </c>
      <c r="AI48" s="207">
        <v>1.29</v>
      </c>
      <c r="AJ48" s="208">
        <v>1.3080000000000001</v>
      </c>
      <c r="AK48" s="206">
        <v>278.07799999999997</v>
      </c>
      <c r="AL48" s="206">
        <v>31.65</v>
      </c>
      <c r="AM48" s="206">
        <v>246.428</v>
      </c>
      <c r="AN48" s="206">
        <v>506.74700000000001</v>
      </c>
      <c r="AO48" s="206">
        <v>1205.3589999999999</v>
      </c>
      <c r="AP48" s="207">
        <v>158.42500000000001</v>
      </c>
      <c r="AQ48" s="206">
        <v>535.31600000000003</v>
      </c>
      <c r="AR48" s="206">
        <v>47.332000000000001</v>
      </c>
      <c r="AS48" s="207">
        <v>4.5919999999999996</v>
      </c>
      <c r="AT48" s="207">
        <v>3.4529999999999998</v>
      </c>
      <c r="AU48" s="207">
        <v>1.139</v>
      </c>
      <c r="AV48" s="207">
        <v>2.6469999999999998</v>
      </c>
      <c r="AW48" s="206">
        <v>263.67500000000001</v>
      </c>
      <c r="AX48" s="208">
        <v>8.0000000000000002E-3</v>
      </c>
      <c r="AY48" s="208">
        <v>0.69</v>
      </c>
      <c r="AZ48" s="207">
        <v>17.164999999999999</v>
      </c>
      <c r="BA48" s="207">
        <v>46.506</v>
      </c>
      <c r="BB48" s="208">
        <v>0</v>
      </c>
      <c r="BC48" s="208">
        <v>0.1</v>
      </c>
      <c r="BD48" s="209">
        <v>268.40800000000002</v>
      </c>
      <c r="BE48" s="216">
        <v>503.95499999999998</v>
      </c>
      <c r="BF48" s="194"/>
      <c r="BG48" s="194"/>
      <c r="BH48" s="189"/>
    </row>
    <row r="49" spans="1:60" ht="22.5">
      <c r="A49" s="218" t="s">
        <v>955</v>
      </c>
      <c r="B49" s="227" t="s">
        <v>1026</v>
      </c>
      <c r="C49" s="221">
        <v>373.68421052631572</v>
      </c>
      <c r="D49" s="222"/>
      <c r="E49" s="222" t="s">
        <v>59</v>
      </c>
      <c r="F49" s="231">
        <v>396.21100000000001</v>
      </c>
      <c r="G49" s="232">
        <v>29.634599872941546</v>
      </c>
      <c r="H49" s="181">
        <v>53.173963010286016</v>
      </c>
      <c r="I49" s="181">
        <v>17.19143711677243</v>
      </c>
      <c r="J49" s="206">
        <v>31.137</v>
      </c>
      <c r="K49" s="206">
        <v>24.831</v>
      </c>
      <c r="L49" s="206">
        <v>19.748999999999999</v>
      </c>
      <c r="M49" s="206">
        <v>5.0819999999999999</v>
      </c>
      <c r="N49" s="206">
        <v>18.062999999999999</v>
      </c>
      <c r="O49" s="206">
        <v>14.22</v>
      </c>
      <c r="P49" s="206">
        <v>3.843</v>
      </c>
      <c r="Q49" s="206">
        <v>13.571</v>
      </c>
      <c r="R49" s="207">
        <v>0.35299999999999998</v>
      </c>
      <c r="S49" s="207">
        <v>2.895</v>
      </c>
      <c r="T49" s="206">
        <v>289.673</v>
      </c>
      <c r="U49" s="206">
        <v>5.633</v>
      </c>
      <c r="V49" s="206">
        <v>462.72899999999998</v>
      </c>
      <c r="W49" s="206">
        <v>41.79</v>
      </c>
      <c r="X49" s="206">
        <v>5051.2700000000004</v>
      </c>
      <c r="Y49" s="208">
        <v>0</v>
      </c>
      <c r="Z49" s="206">
        <v>4.3440000000000003</v>
      </c>
      <c r="AA49" s="206">
        <v>329.80900000000003</v>
      </c>
      <c r="AB49" s="206">
        <v>47.95</v>
      </c>
      <c r="AC49" s="208">
        <v>0.435</v>
      </c>
      <c r="AD49" s="207">
        <v>0.314</v>
      </c>
      <c r="AE49" s="207">
        <v>2.6110000000000002</v>
      </c>
      <c r="AF49" s="207">
        <v>0.33700000000000002</v>
      </c>
      <c r="AG49" s="206">
        <v>244.023</v>
      </c>
      <c r="AH49" s="207">
        <v>0.14699999999999999</v>
      </c>
      <c r="AI49" s="207">
        <v>0.63100000000000001</v>
      </c>
      <c r="AJ49" s="208">
        <v>4.0990000000000002</v>
      </c>
      <c r="AK49" s="206">
        <v>304.779</v>
      </c>
      <c r="AL49" s="206">
        <v>199.149</v>
      </c>
      <c r="AM49" s="206">
        <v>105.63</v>
      </c>
      <c r="AN49" s="206">
        <v>497.92599999999999</v>
      </c>
      <c r="AO49" s="206">
        <v>254.2</v>
      </c>
      <c r="AP49" s="207">
        <v>252.27</v>
      </c>
      <c r="AQ49" s="206">
        <v>1136.8389999999999</v>
      </c>
      <c r="AR49" s="206">
        <v>38.29</v>
      </c>
      <c r="AS49" s="207">
        <v>6.4669999999999996</v>
      </c>
      <c r="AT49" s="207">
        <v>6.4039999999999999</v>
      </c>
      <c r="AU49" s="207">
        <v>6.3E-2</v>
      </c>
      <c r="AV49" s="207">
        <v>1.9710000000000001</v>
      </c>
      <c r="AW49" s="206">
        <v>152.79300000000001</v>
      </c>
      <c r="AX49" s="208">
        <v>1.7000000000000001E-2</v>
      </c>
      <c r="AY49" s="208">
        <v>0.623</v>
      </c>
      <c r="AZ49" s="207">
        <v>2.34</v>
      </c>
      <c r="BA49" s="207">
        <v>8.907</v>
      </c>
      <c r="BB49" s="208">
        <v>0</v>
      </c>
      <c r="BC49" s="208">
        <v>0</v>
      </c>
      <c r="BD49" s="209">
        <v>16.8</v>
      </c>
      <c r="BE49" s="216">
        <v>0</v>
      </c>
      <c r="BF49" s="195"/>
      <c r="BG49" s="195"/>
      <c r="BH49" s="189"/>
    </row>
    <row r="50" spans="1:60">
      <c r="A50" s="218" t="s">
        <v>956</v>
      </c>
      <c r="B50" s="227" t="s">
        <v>1027</v>
      </c>
      <c r="C50" s="221">
        <v>347.52688172043008</v>
      </c>
      <c r="D50" s="222"/>
      <c r="E50" s="222" t="s">
        <v>59</v>
      </c>
      <c r="F50" s="231">
        <v>643.79200000000003</v>
      </c>
      <c r="G50" s="232">
        <v>74.644126047883347</v>
      </c>
      <c r="H50" s="181">
        <v>8.1327357592364695</v>
      </c>
      <c r="I50" s="181">
        <v>17.223138192880199</v>
      </c>
      <c r="J50" s="206">
        <v>120.54</v>
      </c>
      <c r="K50" s="206">
        <v>5.8369999999999997</v>
      </c>
      <c r="L50" s="206">
        <v>5.8369999999999997</v>
      </c>
      <c r="M50" s="206">
        <v>0</v>
      </c>
      <c r="N50" s="206">
        <v>27.812999999999999</v>
      </c>
      <c r="O50" s="206">
        <v>27.812999999999999</v>
      </c>
      <c r="P50" s="206">
        <v>0</v>
      </c>
      <c r="Q50" s="206">
        <v>16.959</v>
      </c>
      <c r="R50" s="207">
        <v>1.6419999999999999</v>
      </c>
      <c r="S50" s="207">
        <v>7.6989999999999998</v>
      </c>
      <c r="T50" s="206">
        <v>435.18</v>
      </c>
      <c r="U50" s="206">
        <v>4.9930000000000003</v>
      </c>
      <c r="V50" s="206">
        <v>153.18199999999999</v>
      </c>
      <c r="W50" s="206">
        <v>0</v>
      </c>
      <c r="X50" s="206">
        <v>1838.1869999999999</v>
      </c>
      <c r="Y50" s="208">
        <v>0</v>
      </c>
      <c r="Z50" s="206">
        <v>2.0089999999999999</v>
      </c>
      <c r="AA50" s="206">
        <v>228.44</v>
      </c>
      <c r="AB50" s="206">
        <v>54.534999999999997</v>
      </c>
      <c r="AC50" s="208">
        <v>0.86099999999999999</v>
      </c>
      <c r="AD50" s="207">
        <v>0.35799999999999998</v>
      </c>
      <c r="AE50" s="207">
        <v>6.1120000000000001</v>
      </c>
      <c r="AF50" s="207">
        <v>0.51900000000000002</v>
      </c>
      <c r="AG50" s="206">
        <v>331.35599999999999</v>
      </c>
      <c r="AH50" s="207">
        <v>0</v>
      </c>
      <c r="AI50" s="207">
        <v>0.28699999999999998</v>
      </c>
      <c r="AJ50" s="208">
        <v>0.66500000000000004</v>
      </c>
      <c r="AK50" s="206">
        <v>294.49599999999998</v>
      </c>
      <c r="AL50" s="206">
        <v>294.49599999999998</v>
      </c>
      <c r="AM50" s="206">
        <v>0</v>
      </c>
      <c r="AN50" s="206">
        <v>396.91800000000001</v>
      </c>
      <c r="AO50" s="206">
        <v>81.292000000000002</v>
      </c>
      <c r="AP50" s="207">
        <v>19.95</v>
      </c>
      <c r="AQ50" s="206">
        <v>1722.547</v>
      </c>
      <c r="AR50" s="206">
        <v>96.367999999999995</v>
      </c>
      <c r="AS50" s="207">
        <v>7.01</v>
      </c>
      <c r="AT50" s="207">
        <v>7.01</v>
      </c>
      <c r="AU50" s="207">
        <v>0</v>
      </c>
      <c r="AV50" s="207">
        <v>3.323</v>
      </c>
      <c r="AW50" s="206">
        <v>479.315</v>
      </c>
      <c r="AX50" s="208">
        <v>2.4E-2</v>
      </c>
      <c r="AY50" s="208">
        <v>0.77</v>
      </c>
      <c r="AZ50" s="207">
        <v>0</v>
      </c>
      <c r="BA50" s="207">
        <v>82.882999999999996</v>
      </c>
      <c r="BB50" s="208">
        <v>0</v>
      </c>
      <c r="BC50" s="208">
        <v>2.048</v>
      </c>
      <c r="BD50" s="209">
        <v>0</v>
      </c>
      <c r="BE50" s="216">
        <v>0</v>
      </c>
      <c r="BF50" s="196"/>
      <c r="BG50" s="196"/>
      <c r="BH50" s="189"/>
    </row>
    <row r="51" spans="1:60">
      <c r="A51" s="218" t="s">
        <v>957</v>
      </c>
      <c r="B51" s="227" t="s">
        <v>1028</v>
      </c>
      <c r="C51" s="221">
        <v>270.58823529411762</v>
      </c>
      <c r="D51" s="222"/>
      <c r="E51" s="222" t="s">
        <v>13</v>
      </c>
      <c r="F51" s="231">
        <v>539.33399999999995</v>
      </c>
      <c r="G51" s="232">
        <v>41.239407686381924</v>
      </c>
      <c r="H51" s="181">
        <v>39.52537875545665</v>
      </c>
      <c r="I51" s="181">
        <v>19.23521355816143</v>
      </c>
      <c r="J51" s="206">
        <v>57.816000000000003</v>
      </c>
      <c r="K51" s="206">
        <v>24.628</v>
      </c>
      <c r="L51" s="206">
        <v>14.981</v>
      </c>
      <c r="M51" s="206">
        <v>9.6470000000000002</v>
      </c>
      <c r="N51" s="206">
        <v>26.966999999999999</v>
      </c>
      <c r="O51" s="206">
        <v>16.853999999999999</v>
      </c>
      <c r="P51" s="206">
        <v>10.113</v>
      </c>
      <c r="Q51" s="206">
        <v>15.265000000000001</v>
      </c>
      <c r="R51" s="207">
        <v>1.427</v>
      </c>
      <c r="S51" s="207">
        <v>5.1070000000000002</v>
      </c>
      <c r="T51" s="206">
        <v>493.71199999999999</v>
      </c>
      <c r="U51" s="206">
        <v>6.9989999999999997</v>
      </c>
      <c r="V51" s="206">
        <v>517.572</v>
      </c>
      <c r="W51" s="206">
        <v>96.08</v>
      </c>
      <c r="X51" s="206">
        <v>5057.8999999999996</v>
      </c>
      <c r="Y51" s="208">
        <v>0.99</v>
      </c>
      <c r="Z51" s="206">
        <v>6.6260000000000003</v>
      </c>
      <c r="AA51" s="206">
        <v>330.34899999999999</v>
      </c>
      <c r="AB51" s="206">
        <v>127.35</v>
      </c>
      <c r="AC51" s="208">
        <v>0.80900000000000005</v>
      </c>
      <c r="AD51" s="207">
        <v>0.78400000000000003</v>
      </c>
      <c r="AE51" s="207">
        <v>3.8330000000000002</v>
      </c>
      <c r="AF51" s="207">
        <v>0.44600000000000001</v>
      </c>
      <c r="AG51" s="206">
        <v>407.35</v>
      </c>
      <c r="AH51" s="207">
        <v>0.85599999999999998</v>
      </c>
      <c r="AI51" s="207">
        <v>1.7050000000000001</v>
      </c>
      <c r="AJ51" s="208">
        <v>4.0810000000000004</v>
      </c>
      <c r="AK51" s="206">
        <v>379.85599999999999</v>
      </c>
      <c r="AL51" s="206">
        <v>245.626</v>
      </c>
      <c r="AM51" s="206">
        <v>134.22999999999999</v>
      </c>
      <c r="AN51" s="206">
        <v>614.80600000000004</v>
      </c>
      <c r="AO51" s="206">
        <v>527.31899999999996</v>
      </c>
      <c r="AP51" s="207">
        <v>253.815</v>
      </c>
      <c r="AQ51" s="206">
        <v>1339.3340000000001</v>
      </c>
      <c r="AR51" s="206">
        <v>69.73</v>
      </c>
      <c r="AS51" s="207">
        <v>8.5039999999999996</v>
      </c>
      <c r="AT51" s="207">
        <v>7.5069999999999997</v>
      </c>
      <c r="AU51" s="207">
        <v>0.998</v>
      </c>
      <c r="AV51" s="207">
        <v>2.2770000000000001</v>
      </c>
      <c r="AW51" s="206">
        <v>329.02300000000002</v>
      </c>
      <c r="AX51" s="208">
        <v>1.7000000000000001E-2</v>
      </c>
      <c r="AY51" s="208">
        <v>0.94099999999999995</v>
      </c>
      <c r="AZ51" s="207">
        <v>16.420000000000002</v>
      </c>
      <c r="BA51" s="207">
        <v>36.531999999999996</v>
      </c>
      <c r="BB51" s="208">
        <v>0</v>
      </c>
      <c r="BC51" s="208">
        <v>0</v>
      </c>
      <c r="BD51" s="209">
        <v>241.32</v>
      </c>
      <c r="BE51" s="216">
        <v>100.791</v>
      </c>
      <c r="BF51" s="197"/>
      <c r="BG51" s="197"/>
      <c r="BH51" s="189"/>
    </row>
    <row r="52" spans="1:60">
      <c r="A52" s="218" t="s">
        <v>958</v>
      </c>
      <c r="B52" s="227" t="s">
        <v>1029</v>
      </c>
      <c r="C52" s="221">
        <v>415.20270270270271</v>
      </c>
      <c r="D52" s="222"/>
      <c r="E52" s="222" t="s">
        <v>949</v>
      </c>
      <c r="F52" s="231">
        <v>1046.104</v>
      </c>
      <c r="G52" s="232">
        <v>66.116706408017365</v>
      </c>
      <c r="H52" s="181">
        <v>14.558363263089019</v>
      </c>
      <c r="I52" s="181">
        <v>19.324930328893604</v>
      </c>
      <c r="J52" s="206">
        <v>172.53700000000001</v>
      </c>
      <c r="K52" s="206">
        <v>16.885000000000002</v>
      </c>
      <c r="L52" s="206">
        <v>15.382</v>
      </c>
      <c r="M52" s="206">
        <v>1.5029999999999999</v>
      </c>
      <c r="N52" s="206">
        <v>50.43</v>
      </c>
      <c r="O52" s="206">
        <v>18.812999999999999</v>
      </c>
      <c r="P52" s="206">
        <v>31.617999999999999</v>
      </c>
      <c r="Q52" s="206">
        <v>7.8</v>
      </c>
      <c r="R52" s="207">
        <v>1.625</v>
      </c>
      <c r="S52" s="207">
        <v>6.1749999999999998</v>
      </c>
      <c r="T52" s="206">
        <v>619.61300000000006</v>
      </c>
      <c r="U52" s="206">
        <v>6.6980000000000004</v>
      </c>
      <c r="V52" s="206">
        <v>185.97200000000001</v>
      </c>
      <c r="W52" s="206">
        <v>32.43</v>
      </c>
      <c r="X52" s="206">
        <v>1842.5</v>
      </c>
      <c r="Y52" s="208">
        <v>1.41</v>
      </c>
      <c r="Z52" s="206">
        <v>6.2350000000000003</v>
      </c>
      <c r="AA52" s="206">
        <v>23.042000000000002</v>
      </c>
      <c r="AB52" s="206">
        <v>148.16</v>
      </c>
      <c r="AC52" s="208">
        <v>0.72599999999999998</v>
      </c>
      <c r="AD52" s="207">
        <v>0.495</v>
      </c>
      <c r="AE52" s="207">
        <v>9.9939999999999998</v>
      </c>
      <c r="AF52" s="207">
        <v>0.54300000000000004</v>
      </c>
      <c r="AG52" s="206">
        <v>182.714</v>
      </c>
      <c r="AH52" s="207">
        <v>1.2689999999999999</v>
      </c>
      <c r="AI52" s="207">
        <v>0.45500000000000002</v>
      </c>
      <c r="AJ52" s="208">
        <v>9</v>
      </c>
      <c r="AK52" s="206">
        <v>161.196</v>
      </c>
      <c r="AL52" s="206">
        <v>103.99299999999999</v>
      </c>
      <c r="AM52" s="206">
        <v>57.203000000000003</v>
      </c>
      <c r="AN52" s="206">
        <v>569.94000000000005</v>
      </c>
      <c r="AO52" s="206">
        <v>924.85599999999999</v>
      </c>
      <c r="AP52" s="207">
        <v>6.2149999999999999</v>
      </c>
      <c r="AQ52" s="206">
        <v>970.81</v>
      </c>
      <c r="AR52" s="206">
        <v>122.255</v>
      </c>
      <c r="AS52" s="207">
        <v>7.1950000000000003</v>
      </c>
      <c r="AT52" s="207">
        <v>5.9429999999999996</v>
      </c>
      <c r="AU52" s="207">
        <v>1.2509999999999999</v>
      </c>
      <c r="AV52" s="207">
        <v>4.2110000000000003</v>
      </c>
      <c r="AW52" s="206">
        <v>395.01</v>
      </c>
      <c r="AX52" s="208">
        <v>8.3000000000000004E-2</v>
      </c>
      <c r="AY52" s="208">
        <v>1.6359999999999999</v>
      </c>
      <c r="AZ52" s="207">
        <v>14.256</v>
      </c>
      <c r="BA52" s="207">
        <v>50.728000000000002</v>
      </c>
      <c r="BB52" s="208">
        <v>0</v>
      </c>
      <c r="BC52" s="208">
        <v>0</v>
      </c>
      <c r="BD52" s="209">
        <v>94.47</v>
      </c>
      <c r="BE52" s="216">
        <v>100.791</v>
      </c>
    </row>
    <row r="53" spans="1:60" ht="22.5">
      <c r="A53" s="218" t="s">
        <v>959</v>
      </c>
      <c r="B53" s="227" t="s">
        <v>1030</v>
      </c>
      <c r="C53" s="221">
        <v>442.6770126091173</v>
      </c>
      <c r="D53" s="222"/>
      <c r="E53" s="222" t="s">
        <v>949</v>
      </c>
      <c r="F53" s="231">
        <v>430.11700000000002</v>
      </c>
      <c r="G53" s="232">
        <v>49.191106768528122</v>
      </c>
      <c r="H53" s="181">
        <v>31.70381890831348</v>
      </c>
      <c r="I53" s="181">
        <v>19.105074323158391</v>
      </c>
      <c r="J53" s="206">
        <v>54.875999999999998</v>
      </c>
      <c r="K53" s="206">
        <v>15.718999999999999</v>
      </c>
      <c r="L53" s="206">
        <v>14.811999999999999</v>
      </c>
      <c r="M53" s="206">
        <v>0.90600000000000003</v>
      </c>
      <c r="N53" s="206">
        <v>21.312999999999999</v>
      </c>
      <c r="O53" s="206">
        <v>15.420999999999999</v>
      </c>
      <c r="P53" s="206">
        <v>5.8920000000000003</v>
      </c>
      <c r="Q53" s="206">
        <v>11.714</v>
      </c>
      <c r="R53" s="207">
        <v>1.46</v>
      </c>
      <c r="S53" s="207">
        <v>4.3529999999999998</v>
      </c>
      <c r="T53" s="206">
        <v>372.77499999999998</v>
      </c>
      <c r="U53" s="206">
        <v>4.4260000000000002</v>
      </c>
      <c r="V53" s="206">
        <v>181.49299999999999</v>
      </c>
      <c r="W53" s="206">
        <v>39.284999999999997</v>
      </c>
      <c r="X53" s="206">
        <v>1706.4949999999999</v>
      </c>
      <c r="Y53" s="208">
        <v>0</v>
      </c>
      <c r="Z53" s="206">
        <v>1.931</v>
      </c>
      <c r="AA53" s="206">
        <v>102.26</v>
      </c>
      <c r="AB53" s="206">
        <v>48.365000000000002</v>
      </c>
      <c r="AC53" s="208">
        <v>0.8</v>
      </c>
      <c r="AD53" s="207">
        <v>0.35699999999999998</v>
      </c>
      <c r="AE53" s="207">
        <v>3.8839999999999999</v>
      </c>
      <c r="AF53" s="207">
        <v>0.309</v>
      </c>
      <c r="AG53" s="206">
        <v>202.429</v>
      </c>
      <c r="AH53" s="207">
        <v>0.58899999999999997</v>
      </c>
      <c r="AI53" s="207">
        <v>0.372</v>
      </c>
      <c r="AJ53" s="208">
        <v>1.097</v>
      </c>
      <c r="AK53" s="206">
        <v>259.43900000000002</v>
      </c>
      <c r="AL53" s="206">
        <v>143.87299999999999</v>
      </c>
      <c r="AM53" s="206">
        <v>115.566</v>
      </c>
      <c r="AN53" s="206">
        <v>363.82600000000002</v>
      </c>
      <c r="AO53" s="206">
        <v>203.613</v>
      </c>
      <c r="AP53" s="207">
        <v>19.95</v>
      </c>
      <c r="AQ53" s="206">
        <v>1193.9580000000001</v>
      </c>
      <c r="AR53" s="206">
        <v>40.264000000000003</v>
      </c>
      <c r="AS53" s="207">
        <v>5.766</v>
      </c>
      <c r="AT53" s="207">
        <v>5.0860000000000003</v>
      </c>
      <c r="AU53" s="207">
        <v>0.68</v>
      </c>
      <c r="AV53" s="207">
        <v>1.4039999999999999</v>
      </c>
      <c r="AW53" s="206">
        <v>161.22499999999999</v>
      </c>
      <c r="AX53" s="208">
        <v>2E-3</v>
      </c>
      <c r="AY53" s="208">
        <v>1.252</v>
      </c>
      <c r="AZ53" s="207">
        <v>39.82</v>
      </c>
      <c r="BA53" s="207">
        <v>21.372</v>
      </c>
      <c r="BB53" s="208">
        <v>0</v>
      </c>
      <c r="BC53" s="208">
        <v>0</v>
      </c>
      <c r="BD53" s="209">
        <v>22.667999999999999</v>
      </c>
      <c r="BE53" s="216">
        <v>0</v>
      </c>
    </row>
    <row r="54" spans="1:60" ht="22.5">
      <c r="A54" s="218" t="s">
        <v>960</v>
      </c>
      <c r="B54" s="227" t="s">
        <v>1031</v>
      </c>
      <c r="C54" s="221">
        <v>371.86390894627345</v>
      </c>
      <c r="D54" s="222"/>
      <c r="E54" s="222" t="s">
        <v>59</v>
      </c>
      <c r="F54" s="231">
        <v>500.69299999999998</v>
      </c>
      <c r="G54" s="232">
        <v>35.423097557751667</v>
      </c>
      <c r="H54" s="181">
        <v>39.642798827471992</v>
      </c>
      <c r="I54" s="181">
        <v>24.93410361477634</v>
      </c>
      <c r="J54" s="206">
        <v>45.558</v>
      </c>
      <c r="K54" s="206">
        <v>22.66</v>
      </c>
      <c r="L54" s="206">
        <v>14.914</v>
      </c>
      <c r="M54" s="206">
        <v>7.7460000000000004</v>
      </c>
      <c r="N54" s="206">
        <v>32.067999999999998</v>
      </c>
      <c r="O54" s="206">
        <v>11.53</v>
      </c>
      <c r="P54" s="206">
        <v>20.538</v>
      </c>
      <c r="Q54" s="206">
        <v>9.2750000000000004</v>
      </c>
      <c r="R54" s="207">
        <v>1.0009999999999999</v>
      </c>
      <c r="S54" s="207">
        <v>2.8039999999999998</v>
      </c>
      <c r="T54" s="206">
        <v>341.74700000000001</v>
      </c>
      <c r="U54" s="206">
        <v>4.7110000000000003</v>
      </c>
      <c r="V54" s="206">
        <v>88.295000000000002</v>
      </c>
      <c r="W54" s="206">
        <v>84.968000000000004</v>
      </c>
      <c r="X54" s="206">
        <v>39.921999999999997</v>
      </c>
      <c r="Y54" s="208">
        <v>0.66300000000000003</v>
      </c>
      <c r="Z54" s="206">
        <v>4.3550000000000004</v>
      </c>
      <c r="AA54" s="206">
        <v>105.848</v>
      </c>
      <c r="AB54" s="206">
        <v>29.7</v>
      </c>
      <c r="AC54" s="208">
        <v>1.518</v>
      </c>
      <c r="AD54" s="207">
        <v>0.54900000000000004</v>
      </c>
      <c r="AE54" s="207">
        <v>3.694</v>
      </c>
      <c r="AF54" s="207">
        <v>0.65100000000000002</v>
      </c>
      <c r="AG54" s="206">
        <v>378.89600000000002</v>
      </c>
      <c r="AH54" s="207">
        <v>0.71499999999999997</v>
      </c>
      <c r="AI54" s="207">
        <v>0.76500000000000001</v>
      </c>
      <c r="AJ54" s="208">
        <v>0</v>
      </c>
      <c r="AK54" s="206">
        <v>294.654</v>
      </c>
      <c r="AL54" s="206">
        <v>113.36</v>
      </c>
      <c r="AM54" s="206">
        <v>181.29499999999999</v>
      </c>
      <c r="AN54" s="206">
        <v>418.5</v>
      </c>
      <c r="AO54" s="206">
        <v>335.59</v>
      </c>
      <c r="AP54" s="207">
        <v>0</v>
      </c>
      <c r="AQ54" s="206">
        <v>1055.914</v>
      </c>
      <c r="AR54" s="206">
        <v>18.655999999999999</v>
      </c>
      <c r="AS54" s="207">
        <v>4.6040000000000001</v>
      </c>
      <c r="AT54" s="207">
        <v>3.351</v>
      </c>
      <c r="AU54" s="207">
        <v>1.2529999999999999</v>
      </c>
      <c r="AV54" s="207">
        <v>4.1319999999999997</v>
      </c>
      <c r="AW54" s="206">
        <v>156.90100000000001</v>
      </c>
      <c r="AX54" s="208">
        <v>1E-3</v>
      </c>
      <c r="AY54" s="208">
        <v>0.29499999999999998</v>
      </c>
      <c r="AZ54" s="207">
        <v>9.6470000000000002</v>
      </c>
      <c r="BA54" s="207">
        <v>20.486000000000001</v>
      </c>
      <c r="BB54" s="208">
        <v>0</v>
      </c>
      <c r="BC54" s="208">
        <v>1.087</v>
      </c>
      <c r="BD54" s="209">
        <v>182.87899999999999</v>
      </c>
      <c r="BE54" s="216">
        <v>0</v>
      </c>
    </row>
    <row r="55" spans="1:60" ht="22.5">
      <c r="A55" s="218" t="s">
        <v>961</v>
      </c>
      <c r="B55" s="227" t="s">
        <v>1032</v>
      </c>
      <c r="C55" s="221">
        <v>228.75318066157757</v>
      </c>
      <c r="D55" s="222"/>
      <c r="E55" s="222" t="s">
        <v>49</v>
      </c>
      <c r="F55" s="231">
        <v>447.32100000000003</v>
      </c>
      <c r="G55" s="232">
        <v>45.090683084350808</v>
      </c>
      <c r="H55" s="181">
        <v>33.452532685993781</v>
      </c>
      <c r="I55" s="181">
        <v>21.456784229655419</v>
      </c>
      <c r="J55" s="206">
        <v>50.058999999999997</v>
      </c>
      <c r="K55" s="206">
        <v>16.506</v>
      </c>
      <c r="L55" s="206">
        <v>1.542</v>
      </c>
      <c r="M55" s="206">
        <v>14.964</v>
      </c>
      <c r="N55" s="206">
        <v>23.821000000000002</v>
      </c>
      <c r="O55" s="206">
        <v>7.8369999999999997</v>
      </c>
      <c r="P55" s="206">
        <v>15.984</v>
      </c>
      <c r="Q55" s="206">
        <v>5.0309999999999997</v>
      </c>
      <c r="R55" s="207">
        <v>0.92</v>
      </c>
      <c r="S55" s="207">
        <v>3.4550000000000001</v>
      </c>
      <c r="T55" s="206">
        <v>310.72000000000003</v>
      </c>
      <c r="U55" s="206">
        <v>3.718</v>
      </c>
      <c r="V55" s="206">
        <v>68.394000000000005</v>
      </c>
      <c r="W55" s="206">
        <v>2.2669999999999999</v>
      </c>
      <c r="X55" s="206">
        <v>793.52300000000002</v>
      </c>
      <c r="Y55" s="208">
        <v>0</v>
      </c>
      <c r="Z55" s="206">
        <v>1.73</v>
      </c>
      <c r="AA55" s="206">
        <v>209.363</v>
      </c>
      <c r="AB55" s="206">
        <v>123.18600000000001</v>
      </c>
      <c r="AC55" s="208">
        <v>1.234</v>
      </c>
      <c r="AD55" s="207">
        <v>0.34300000000000003</v>
      </c>
      <c r="AE55" s="207">
        <v>7.016</v>
      </c>
      <c r="AF55" s="207">
        <v>0.78200000000000003</v>
      </c>
      <c r="AG55" s="206">
        <v>234.63900000000001</v>
      </c>
      <c r="AH55" s="207">
        <v>0.89600000000000002</v>
      </c>
      <c r="AI55" s="207">
        <v>1.3440000000000001</v>
      </c>
      <c r="AJ55" s="208">
        <v>0</v>
      </c>
      <c r="AK55" s="206">
        <v>70.671999999999997</v>
      </c>
      <c r="AL55" s="206">
        <v>68.405000000000001</v>
      </c>
      <c r="AM55" s="206">
        <v>2.2669999999999999</v>
      </c>
      <c r="AN55" s="206">
        <v>405.5</v>
      </c>
      <c r="AO55" s="206">
        <v>273.49400000000003</v>
      </c>
      <c r="AP55" s="207">
        <v>3.4489999999999998</v>
      </c>
      <c r="AQ55" s="206">
        <v>722.56700000000001</v>
      </c>
      <c r="AR55" s="206">
        <v>81.046000000000006</v>
      </c>
      <c r="AS55" s="207">
        <v>3.9510000000000001</v>
      </c>
      <c r="AT55" s="207">
        <v>2.137</v>
      </c>
      <c r="AU55" s="207">
        <v>1.8140000000000001</v>
      </c>
      <c r="AV55" s="207">
        <v>3.4620000000000002</v>
      </c>
      <c r="AW55" s="206">
        <v>213.84299999999999</v>
      </c>
      <c r="AX55" s="208">
        <v>1E-3</v>
      </c>
      <c r="AY55" s="208">
        <v>1.272</v>
      </c>
      <c r="AZ55" s="207">
        <v>3.903</v>
      </c>
      <c r="BA55" s="207">
        <v>41.521000000000001</v>
      </c>
      <c r="BB55" s="208">
        <v>0</v>
      </c>
      <c r="BC55" s="208">
        <v>1.847</v>
      </c>
      <c r="BD55" s="209">
        <v>73.683999999999997</v>
      </c>
      <c r="BE55" s="216">
        <v>191.50299999999999</v>
      </c>
    </row>
    <row r="56" spans="1:60" ht="33.75">
      <c r="A56" s="184" t="s">
        <v>962</v>
      </c>
      <c r="B56" s="198" t="s">
        <v>1447</v>
      </c>
      <c r="C56" s="186">
        <v>382.70882123341141</v>
      </c>
      <c r="D56" s="187"/>
      <c r="E56" s="187" t="s">
        <v>59</v>
      </c>
      <c r="F56" s="206">
        <v>764.36400000000003</v>
      </c>
      <c r="G56" s="181">
        <v>35.206612998601308</v>
      </c>
      <c r="H56" s="181">
        <v>38.799147203660063</v>
      </c>
      <c r="I56" s="181">
        <v>25.994239797738633</v>
      </c>
      <c r="J56" s="206">
        <v>71.296999999999997</v>
      </c>
      <c r="K56" s="206">
        <v>34.920999999999999</v>
      </c>
      <c r="L56" s="206">
        <v>24.254999999999999</v>
      </c>
      <c r="M56" s="206">
        <v>10.664999999999999</v>
      </c>
      <c r="N56" s="206">
        <v>52.640999999999998</v>
      </c>
      <c r="O56" s="206">
        <v>17.28</v>
      </c>
      <c r="P56" s="206">
        <v>35.36</v>
      </c>
      <c r="Q56" s="206">
        <v>17.547999999999998</v>
      </c>
      <c r="R56" s="207">
        <v>2.3740000000000001</v>
      </c>
      <c r="S56" s="207">
        <v>8.0470000000000006</v>
      </c>
      <c r="T56" s="206">
        <v>533.13199999999995</v>
      </c>
      <c r="U56" s="206">
        <v>9.1039999999999992</v>
      </c>
      <c r="V56" s="206">
        <v>533.90099999999995</v>
      </c>
      <c r="W56" s="206">
        <v>62.837000000000003</v>
      </c>
      <c r="X56" s="206">
        <v>5652.7690000000002</v>
      </c>
      <c r="Y56" s="208">
        <v>8.3190000000000008</v>
      </c>
      <c r="Z56" s="206">
        <v>13.092000000000001</v>
      </c>
      <c r="AA56" s="206">
        <v>1092.6969999999999</v>
      </c>
      <c r="AB56" s="206">
        <v>215.185</v>
      </c>
      <c r="AC56" s="208">
        <v>0.81899999999999995</v>
      </c>
      <c r="AD56" s="207">
        <v>1.1220000000000001</v>
      </c>
      <c r="AE56" s="207">
        <v>21.286999999999999</v>
      </c>
      <c r="AF56" s="207">
        <v>1.1910000000000001</v>
      </c>
      <c r="AG56" s="206">
        <v>698.05899999999997</v>
      </c>
      <c r="AH56" s="207">
        <v>3.3</v>
      </c>
      <c r="AI56" s="207">
        <v>1.4990000000000001</v>
      </c>
      <c r="AJ56" s="208">
        <v>1.02</v>
      </c>
      <c r="AK56" s="206">
        <v>692.63900000000001</v>
      </c>
      <c r="AL56" s="206">
        <v>545.85900000000004</v>
      </c>
      <c r="AM56" s="206">
        <v>146.78</v>
      </c>
      <c r="AN56" s="206">
        <v>813.81200000000001</v>
      </c>
      <c r="AO56" s="206">
        <v>534.36300000000006</v>
      </c>
      <c r="AP56" s="207">
        <v>205.465</v>
      </c>
      <c r="AQ56" s="206">
        <v>1632.566</v>
      </c>
      <c r="AR56" s="206">
        <v>141.09200000000001</v>
      </c>
      <c r="AS56" s="207">
        <v>15.648999999999999</v>
      </c>
      <c r="AT56" s="207">
        <v>10.488</v>
      </c>
      <c r="AU56" s="207">
        <v>5.1609999999999996</v>
      </c>
      <c r="AV56" s="207">
        <v>5.1340000000000003</v>
      </c>
      <c r="AW56" s="206">
        <v>386.62400000000002</v>
      </c>
      <c r="AX56" s="208">
        <v>1.2999999999999999E-2</v>
      </c>
      <c r="AY56" s="208">
        <v>0.65800000000000003</v>
      </c>
      <c r="AZ56" s="207">
        <v>3.125</v>
      </c>
      <c r="BA56" s="207">
        <v>121.86499999999999</v>
      </c>
      <c r="BB56" s="208">
        <v>0</v>
      </c>
      <c r="BC56" s="208">
        <v>0</v>
      </c>
      <c r="BD56" s="209">
        <v>106.94199999999999</v>
      </c>
      <c r="BE56" s="216">
        <v>0</v>
      </c>
    </row>
    <row r="57" spans="1:60" ht="22.5">
      <c r="A57" s="184" t="s">
        <v>963</v>
      </c>
      <c r="B57" s="198" t="s">
        <v>1033</v>
      </c>
      <c r="C57" s="186">
        <v>336.76872849201447</v>
      </c>
      <c r="D57" s="187"/>
      <c r="E57" s="187" t="s">
        <v>59</v>
      </c>
      <c r="F57" s="206">
        <v>539.95299999999997</v>
      </c>
      <c r="G57" s="181">
        <v>35.4428374147247</v>
      </c>
      <c r="H57" s="181">
        <v>20.299167997522535</v>
      </c>
      <c r="I57" s="181">
        <v>44.257994587752762</v>
      </c>
      <c r="J57" s="206">
        <v>49.213000000000001</v>
      </c>
      <c r="K57" s="206">
        <v>12.526999999999999</v>
      </c>
      <c r="L57" s="206">
        <v>6.4109999999999996</v>
      </c>
      <c r="M57" s="206">
        <v>6.117</v>
      </c>
      <c r="N57" s="206">
        <v>61.453000000000003</v>
      </c>
      <c r="O57" s="206">
        <v>15.404999999999999</v>
      </c>
      <c r="P57" s="206">
        <v>46.048999999999999</v>
      </c>
      <c r="Q57" s="206">
        <v>7.9279999999999999</v>
      </c>
      <c r="R57" s="207">
        <v>0.499</v>
      </c>
      <c r="S57" s="207">
        <v>4.9790000000000001</v>
      </c>
      <c r="T57" s="206">
        <v>307.27600000000001</v>
      </c>
      <c r="U57" s="206">
        <v>6.048</v>
      </c>
      <c r="V57" s="206">
        <v>205.87</v>
      </c>
      <c r="W57" s="206">
        <v>93.185000000000002</v>
      </c>
      <c r="X57" s="206">
        <v>1352.2149999999999</v>
      </c>
      <c r="Y57" s="208">
        <v>2.5000000000000001E-2</v>
      </c>
      <c r="Z57" s="206">
        <v>6.0490000000000004</v>
      </c>
      <c r="AA57" s="206">
        <v>185.077</v>
      </c>
      <c r="AB57" s="206">
        <v>171.5</v>
      </c>
      <c r="AC57" s="208">
        <v>1.5840000000000001</v>
      </c>
      <c r="AD57" s="207">
        <v>0.89900000000000002</v>
      </c>
      <c r="AE57" s="207">
        <v>9.4559999999999995</v>
      </c>
      <c r="AF57" s="207">
        <v>1.5249999999999999</v>
      </c>
      <c r="AG57" s="206">
        <v>149.63300000000001</v>
      </c>
      <c r="AH57" s="207">
        <v>0.64900000000000002</v>
      </c>
      <c r="AI57" s="207">
        <v>1.1319999999999999</v>
      </c>
      <c r="AJ57" s="208">
        <v>0</v>
      </c>
      <c r="AK57" s="206">
        <v>147.17699999999999</v>
      </c>
      <c r="AL57" s="206">
        <v>126.807</v>
      </c>
      <c r="AM57" s="206">
        <v>20.37</v>
      </c>
      <c r="AN57" s="206">
        <v>709.89200000000005</v>
      </c>
      <c r="AO57" s="206">
        <v>384.13299999999998</v>
      </c>
      <c r="AP57" s="207">
        <v>0</v>
      </c>
      <c r="AQ57" s="206">
        <v>1306.6590000000001</v>
      </c>
      <c r="AR57" s="206">
        <v>46.804000000000002</v>
      </c>
      <c r="AS57" s="207">
        <v>6.3860000000000001</v>
      </c>
      <c r="AT57" s="207">
        <v>4.29</v>
      </c>
      <c r="AU57" s="207">
        <v>2.097</v>
      </c>
      <c r="AV57" s="207">
        <v>6.3209999999999997</v>
      </c>
      <c r="AW57" s="206">
        <v>245.46100000000001</v>
      </c>
      <c r="AX57" s="208">
        <v>0</v>
      </c>
      <c r="AY57" s="208">
        <v>0.53900000000000003</v>
      </c>
      <c r="AZ57" s="207">
        <v>7.2999999999999995E-2</v>
      </c>
      <c r="BA57" s="207">
        <v>32.738</v>
      </c>
      <c r="BB57" s="208">
        <v>0</v>
      </c>
      <c r="BC57" s="208">
        <v>0</v>
      </c>
      <c r="BD57" s="209">
        <v>108.56</v>
      </c>
      <c r="BE57" s="216">
        <v>0</v>
      </c>
    </row>
    <row r="58" spans="1:60" ht="22.5">
      <c r="A58" s="184" t="s">
        <v>964</v>
      </c>
      <c r="B58" s="198" t="s">
        <v>1034</v>
      </c>
      <c r="C58" s="186">
        <v>394.97400346620452</v>
      </c>
      <c r="D58" s="187" t="s">
        <v>142</v>
      </c>
      <c r="E58" s="187" t="s">
        <v>13</v>
      </c>
      <c r="F58" s="206">
        <v>560.66300000000001</v>
      </c>
      <c r="G58" s="181">
        <v>39.218969673500858</v>
      </c>
      <c r="H58" s="181">
        <v>49.014641702163289</v>
      </c>
      <c r="I58" s="181">
        <v>11.766388624335857</v>
      </c>
      <c r="J58" s="206">
        <v>56.21</v>
      </c>
      <c r="K58" s="206">
        <v>31.222000000000001</v>
      </c>
      <c r="L58" s="206">
        <v>31.222000000000001</v>
      </c>
      <c r="M58" s="206">
        <v>0</v>
      </c>
      <c r="N58" s="206">
        <v>16.864000000000001</v>
      </c>
      <c r="O58" s="206">
        <v>16.864000000000001</v>
      </c>
      <c r="P58" s="206">
        <v>0</v>
      </c>
      <c r="Q58" s="206">
        <v>18.492999999999999</v>
      </c>
      <c r="R58" s="207">
        <v>1.992</v>
      </c>
      <c r="S58" s="207">
        <v>7.7</v>
      </c>
      <c r="T58" s="206">
        <v>296.79000000000002</v>
      </c>
      <c r="U58" s="206">
        <v>4.2039999999999997</v>
      </c>
      <c r="V58" s="206">
        <v>85.569000000000003</v>
      </c>
      <c r="W58" s="206">
        <v>0</v>
      </c>
      <c r="X58" s="206">
        <v>1026.8309999999999</v>
      </c>
      <c r="Y58" s="208">
        <v>0</v>
      </c>
      <c r="Z58" s="206">
        <v>3.8690000000000002</v>
      </c>
      <c r="AA58" s="206">
        <v>72.049000000000007</v>
      </c>
      <c r="AB58" s="206">
        <v>35.271999999999998</v>
      </c>
      <c r="AC58" s="208">
        <v>0.89600000000000002</v>
      </c>
      <c r="AD58" s="207">
        <v>0.249</v>
      </c>
      <c r="AE58" s="207">
        <v>3.0590000000000002</v>
      </c>
      <c r="AF58" s="207">
        <v>0.27700000000000002</v>
      </c>
      <c r="AG58" s="206">
        <v>99.293000000000006</v>
      </c>
      <c r="AH58" s="207">
        <v>0</v>
      </c>
      <c r="AI58" s="207">
        <v>0.64800000000000002</v>
      </c>
      <c r="AJ58" s="208">
        <v>0</v>
      </c>
      <c r="AK58" s="206">
        <v>143.36500000000001</v>
      </c>
      <c r="AL58" s="206">
        <v>143.36500000000001</v>
      </c>
      <c r="AM58" s="206">
        <v>0</v>
      </c>
      <c r="AN58" s="206">
        <v>379.24799999999999</v>
      </c>
      <c r="AO58" s="206">
        <v>139.44200000000001</v>
      </c>
      <c r="AP58" s="207">
        <v>2.36</v>
      </c>
      <c r="AQ58" s="206">
        <v>1135.548</v>
      </c>
      <c r="AR58" s="206">
        <v>57.518000000000001</v>
      </c>
      <c r="AS58" s="207">
        <v>5.0039999999999996</v>
      </c>
      <c r="AT58" s="207">
        <v>5.0039999999999996</v>
      </c>
      <c r="AU58" s="207">
        <v>0</v>
      </c>
      <c r="AV58" s="207">
        <v>0.74199999999999999</v>
      </c>
      <c r="AW58" s="206">
        <v>157.399</v>
      </c>
      <c r="AX58" s="208">
        <v>4.0000000000000001E-3</v>
      </c>
      <c r="AY58" s="208">
        <v>0.29899999999999999</v>
      </c>
      <c r="AZ58" s="207">
        <v>2.4609999999999999</v>
      </c>
      <c r="BA58" s="207">
        <v>12.244999999999999</v>
      </c>
      <c r="BB58" s="208">
        <v>0</v>
      </c>
      <c r="BC58" s="208">
        <v>8.1000000000000003E-2</v>
      </c>
      <c r="BD58" s="209">
        <v>0</v>
      </c>
      <c r="BE58" s="216">
        <v>131.02799999999999</v>
      </c>
    </row>
    <row r="59" spans="1:60" ht="22.5">
      <c r="A59" s="184" t="s">
        <v>965</v>
      </c>
      <c r="B59" s="198" t="s">
        <v>1035</v>
      </c>
      <c r="C59" s="186">
        <v>362.16216216216213</v>
      </c>
      <c r="D59" s="187"/>
      <c r="E59" s="187" t="s">
        <v>59</v>
      </c>
      <c r="F59" s="206">
        <v>432.09699999999998</v>
      </c>
      <c r="G59" s="181">
        <v>54.129292769169126</v>
      </c>
      <c r="H59" s="181">
        <v>26.469306067451353</v>
      </c>
      <c r="I59" s="181">
        <v>19.401401163379525</v>
      </c>
      <c r="J59" s="206">
        <v>61.463000000000001</v>
      </c>
      <c r="K59" s="206">
        <v>13.358000000000001</v>
      </c>
      <c r="L59" s="206">
        <v>5.3250000000000002</v>
      </c>
      <c r="M59" s="206">
        <v>8.0329999999999995</v>
      </c>
      <c r="N59" s="206">
        <v>22.03</v>
      </c>
      <c r="O59" s="206">
        <v>13.433999999999999</v>
      </c>
      <c r="P59" s="206">
        <v>8.5960000000000001</v>
      </c>
      <c r="Q59" s="206">
        <v>7.5869999999999997</v>
      </c>
      <c r="R59" s="207">
        <v>0.98299999999999998</v>
      </c>
      <c r="S59" s="207">
        <v>4.9640000000000004</v>
      </c>
      <c r="T59" s="206">
        <v>152.53100000000001</v>
      </c>
      <c r="U59" s="206">
        <v>3.2789999999999999</v>
      </c>
      <c r="V59" s="206">
        <v>121.437</v>
      </c>
      <c r="W59" s="206">
        <v>48.938000000000002</v>
      </c>
      <c r="X59" s="206">
        <v>869.98299999999995</v>
      </c>
      <c r="Y59" s="208">
        <v>1.1259999999999999</v>
      </c>
      <c r="Z59" s="206">
        <v>5.7</v>
      </c>
      <c r="AA59" s="206">
        <v>179.39</v>
      </c>
      <c r="AB59" s="206">
        <v>99.94</v>
      </c>
      <c r="AC59" s="208">
        <v>1.53</v>
      </c>
      <c r="AD59" s="207">
        <v>0.7</v>
      </c>
      <c r="AE59" s="207">
        <v>3.379</v>
      </c>
      <c r="AF59" s="207">
        <v>0.60299999999999998</v>
      </c>
      <c r="AG59" s="206">
        <v>146.654</v>
      </c>
      <c r="AH59" s="207">
        <v>0.80300000000000005</v>
      </c>
      <c r="AI59" s="207">
        <v>1.468</v>
      </c>
      <c r="AJ59" s="208">
        <v>0</v>
      </c>
      <c r="AK59" s="206">
        <v>117.758</v>
      </c>
      <c r="AL59" s="206">
        <v>88.206000000000003</v>
      </c>
      <c r="AM59" s="206">
        <v>29.552</v>
      </c>
      <c r="AN59" s="206">
        <v>447.12700000000001</v>
      </c>
      <c r="AO59" s="206">
        <v>351.20100000000002</v>
      </c>
      <c r="AP59" s="207">
        <v>2.9039999999999999</v>
      </c>
      <c r="AQ59" s="206">
        <v>652.10699999999997</v>
      </c>
      <c r="AR59" s="206">
        <v>34.103999999999999</v>
      </c>
      <c r="AS59" s="207">
        <v>4.9089999999999998</v>
      </c>
      <c r="AT59" s="207">
        <v>3.8650000000000002</v>
      </c>
      <c r="AU59" s="207">
        <v>1.044</v>
      </c>
      <c r="AV59" s="207">
        <v>3.4260000000000002</v>
      </c>
      <c r="AW59" s="206">
        <v>168.74600000000001</v>
      </c>
      <c r="AX59" s="208">
        <v>1E-3</v>
      </c>
      <c r="AY59" s="208">
        <v>0.35099999999999998</v>
      </c>
      <c r="AZ59" s="207">
        <v>14.08</v>
      </c>
      <c r="BA59" s="207">
        <v>20.786000000000001</v>
      </c>
      <c r="BB59" s="208">
        <v>0</v>
      </c>
      <c r="BC59" s="208">
        <v>0.1</v>
      </c>
      <c r="BD59" s="209">
        <v>225.96</v>
      </c>
      <c r="BE59" s="216">
        <v>161.26599999999999</v>
      </c>
    </row>
    <row r="60" spans="1:60">
      <c r="A60" s="184" t="s">
        <v>966</v>
      </c>
      <c r="B60" s="198" t="s">
        <v>1036</v>
      </c>
      <c r="C60" s="186">
        <v>360.94985317370686</v>
      </c>
      <c r="D60" s="187"/>
      <c r="E60" s="187" t="s">
        <v>59</v>
      </c>
      <c r="F60" s="206">
        <v>455.92500000000001</v>
      </c>
      <c r="G60" s="181">
        <v>30.5719871029983</v>
      </c>
      <c r="H60" s="181">
        <v>37.556170504455558</v>
      </c>
      <c r="I60" s="181">
        <v>31.871842392546139</v>
      </c>
      <c r="J60" s="206">
        <v>36.125999999999998</v>
      </c>
      <c r="K60" s="206">
        <v>19.724</v>
      </c>
      <c r="L60" s="206">
        <v>12.916</v>
      </c>
      <c r="M60" s="206">
        <v>6.8079999999999998</v>
      </c>
      <c r="N60" s="206">
        <v>37.661999999999999</v>
      </c>
      <c r="O60" s="206">
        <v>11.564</v>
      </c>
      <c r="P60" s="206">
        <v>26.097999999999999</v>
      </c>
      <c r="Q60" s="206">
        <v>10.561</v>
      </c>
      <c r="R60" s="207">
        <v>2.2229999999999999</v>
      </c>
      <c r="S60" s="207">
        <v>8.1300000000000008</v>
      </c>
      <c r="T60" s="206">
        <v>320.98</v>
      </c>
      <c r="U60" s="206">
        <v>5.6870000000000003</v>
      </c>
      <c r="V60" s="206">
        <v>930.73400000000004</v>
      </c>
      <c r="W60" s="206">
        <v>108.79</v>
      </c>
      <c r="X60" s="206">
        <v>9863.33</v>
      </c>
      <c r="Y60" s="208">
        <v>0</v>
      </c>
      <c r="Z60" s="206">
        <v>5.6230000000000002</v>
      </c>
      <c r="AA60" s="206">
        <v>21.908000000000001</v>
      </c>
      <c r="AB60" s="206">
        <v>148.934</v>
      </c>
      <c r="AC60" s="208">
        <v>0.56299999999999994</v>
      </c>
      <c r="AD60" s="207">
        <v>0.72799999999999998</v>
      </c>
      <c r="AE60" s="207">
        <v>6.9530000000000003</v>
      </c>
      <c r="AF60" s="207">
        <v>1.0449999999999999</v>
      </c>
      <c r="AG60" s="206">
        <v>96.180999999999997</v>
      </c>
      <c r="AH60" s="207">
        <v>1.3460000000000001</v>
      </c>
      <c r="AI60" s="207">
        <v>1.2609999999999999</v>
      </c>
      <c r="AJ60" s="208">
        <v>0.86</v>
      </c>
      <c r="AK60" s="206">
        <v>723.05200000000002</v>
      </c>
      <c r="AL60" s="206">
        <v>537.86199999999997</v>
      </c>
      <c r="AM60" s="206">
        <v>185.19</v>
      </c>
      <c r="AN60" s="206">
        <v>492.19</v>
      </c>
      <c r="AO60" s="206">
        <v>503.82400000000001</v>
      </c>
      <c r="AP60" s="207">
        <v>1.089</v>
      </c>
      <c r="AQ60" s="206">
        <v>1248.2840000000001</v>
      </c>
      <c r="AR60" s="206">
        <v>91.602999999999994</v>
      </c>
      <c r="AS60" s="207">
        <v>4.5860000000000003</v>
      </c>
      <c r="AT60" s="207">
        <v>3.0960000000000001</v>
      </c>
      <c r="AU60" s="207">
        <v>1.49</v>
      </c>
      <c r="AV60" s="207">
        <v>3.0459999999999998</v>
      </c>
      <c r="AW60" s="206">
        <v>110.26</v>
      </c>
      <c r="AX60" s="208">
        <v>0</v>
      </c>
      <c r="AY60" s="208">
        <v>0.69399999999999995</v>
      </c>
      <c r="AZ60" s="207">
        <v>7.875</v>
      </c>
      <c r="BA60" s="207">
        <v>35.131</v>
      </c>
      <c r="BB60" s="208">
        <v>0</v>
      </c>
      <c r="BC60" s="208">
        <v>0.15</v>
      </c>
      <c r="BD60" s="209">
        <v>92.59</v>
      </c>
      <c r="BE60" s="216">
        <v>60.475000000000001</v>
      </c>
    </row>
    <row r="61" spans="1:60" ht="22.5">
      <c r="A61" s="184" t="s">
        <v>967</v>
      </c>
      <c r="B61" s="198" t="s">
        <v>1037</v>
      </c>
      <c r="C61" s="186">
        <v>338.32658569500671</v>
      </c>
      <c r="D61" s="187"/>
      <c r="E61" s="187" t="s">
        <v>59</v>
      </c>
      <c r="F61" s="206">
        <v>731.98</v>
      </c>
      <c r="G61" s="181">
        <v>43.972459902855135</v>
      </c>
      <c r="H61" s="181">
        <v>37.146120755151976</v>
      </c>
      <c r="I61" s="181">
        <v>18.881419341992881</v>
      </c>
      <c r="J61" s="206">
        <v>83.921000000000006</v>
      </c>
      <c r="K61" s="206">
        <v>31.507999999999999</v>
      </c>
      <c r="L61" s="206">
        <v>25.138999999999999</v>
      </c>
      <c r="M61" s="206">
        <v>6.3689999999999998</v>
      </c>
      <c r="N61" s="206">
        <v>36.034999999999997</v>
      </c>
      <c r="O61" s="206">
        <v>27.55</v>
      </c>
      <c r="P61" s="206">
        <v>8.4860000000000007</v>
      </c>
      <c r="Q61" s="206">
        <v>21.727</v>
      </c>
      <c r="R61" s="207">
        <v>2.9369999999999998</v>
      </c>
      <c r="S61" s="207">
        <v>9.2810000000000006</v>
      </c>
      <c r="T61" s="206">
        <v>368.32499999999999</v>
      </c>
      <c r="U61" s="206">
        <v>7.1120000000000001</v>
      </c>
      <c r="V61" s="206">
        <v>86.173000000000002</v>
      </c>
      <c r="W61" s="206">
        <v>59.973999999999997</v>
      </c>
      <c r="X61" s="206">
        <v>314.392</v>
      </c>
      <c r="Y61" s="208">
        <v>1.613</v>
      </c>
      <c r="Z61" s="206">
        <v>6.0270000000000001</v>
      </c>
      <c r="AA61" s="206">
        <v>6.0060000000000002</v>
      </c>
      <c r="AB61" s="206">
        <v>92.317999999999998</v>
      </c>
      <c r="AC61" s="208">
        <v>1.78</v>
      </c>
      <c r="AD61" s="207">
        <v>0.45800000000000002</v>
      </c>
      <c r="AE61" s="207">
        <v>4.18</v>
      </c>
      <c r="AF61" s="207">
        <v>0.35199999999999998</v>
      </c>
      <c r="AG61" s="206">
        <v>113.07</v>
      </c>
      <c r="AH61" s="207">
        <v>0.84799999999999998</v>
      </c>
      <c r="AI61" s="207">
        <v>1.1850000000000001</v>
      </c>
      <c r="AJ61" s="208">
        <v>6.0640000000000001</v>
      </c>
      <c r="AK61" s="206">
        <v>500.29300000000001</v>
      </c>
      <c r="AL61" s="206">
        <v>229.11500000000001</v>
      </c>
      <c r="AM61" s="206">
        <v>271.178</v>
      </c>
      <c r="AN61" s="206">
        <v>920.56600000000003</v>
      </c>
      <c r="AO61" s="206">
        <v>556.04999999999995</v>
      </c>
      <c r="AP61" s="207">
        <v>317.16500000000002</v>
      </c>
      <c r="AQ61" s="206">
        <v>1666.152</v>
      </c>
      <c r="AR61" s="206">
        <v>102.089</v>
      </c>
      <c r="AS61" s="207">
        <v>7.0149999999999997</v>
      </c>
      <c r="AT61" s="207">
        <v>6.9470000000000001</v>
      </c>
      <c r="AU61" s="207">
        <v>6.8000000000000005E-2</v>
      </c>
      <c r="AV61" s="207">
        <v>2.6190000000000002</v>
      </c>
      <c r="AW61" s="206">
        <v>310.60300000000001</v>
      </c>
      <c r="AX61" s="208">
        <v>8.9999999999999993E-3</v>
      </c>
      <c r="AY61" s="208">
        <v>0.22900000000000001</v>
      </c>
      <c r="AZ61" s="207">
        <v>41.834000000000003</v>
      </c>
      <c r="BA61" s="207">
        <v>32.130000000000003</v>
      </c>
      <c r="BB61" s="208">
        <v>0</v>
      </c>
      <c r="BC61" s="208">
        <v>0</v>
      </c>
      <c r="BD61" s="209">
        <v>24.08</v>
      </c>
      <c r="BE61" s="216">
        <v>100.791</v>
      </c>
    </row>
    <row r="62" spans="1:60">
      <c r="A62" s="184" t="s">
        <v>1448</v>
      </c>
      <c r="B62" s="185" t="s">
        <v>1038</v>
      </c>
      <c r="C62" s="186">
        <v>402.76864728192157</v>
      </c>
      <c r="D62" s="187"/>
      <c r="E62" s="187" t="s">
        <v>949</v>
      </c>
      <c r="F62" s="206">
        <v>293.161</v>
      </c>
      <c r="G62" s="181">
        <v>73.516392802182324</v>
      </c>
      <c r="H62" s="181">
        <v>17.045049207282069</v>
      </c>
      <c r="I62" s="181">
        <v>9.4385579905356245</v>
      </c>
      <c r="J62" s="206">
        <v>54.101999999999997</v>
      </c>
      <c r="K62" s="206">
        <v>5.5750000000000002</v>
      </c>
      <c r="L62" s="206">
        <v>5.5750000000000002</v>
      </c>
      <c r="M62" s="206">
        <v>0</v>
      </c>
      <c r="N62" s="206">
        <v>6.9459999999999997</v>
      </c>
      <c r="O62" s="206">
        <v>6.9459999999999997</v>
      </c>
      <c r="P62" s="206">
        <v>0</v>
      </c>
      <c r="Q62" s="206">
        <v>9.0350000000000001</v>
      </c>
      <c r="R62" s="207">
        <v>1.21</v>
      </c>
      <c r="S62" s="207">
        <v>3.7749999999999999</v>
      </c>
      <c r="T62" s="206">
        <v>232.36199999999999</v>
      </c>
      <c r="U62" s="206">
        <v>2.0489999999999999</v>
      </c>
      <c r="V62" s="206">
        <v>20.873999999999999</v>
      </c>
      <c r="W62" s="206">
        <v>0</v>
      </c>
      <c r="X62" s="206">
        <v>250.489</v>
      </c>
      <c r="Y62" s="208">
        <v>0</v>
      </c>
      <c r="Z62" s="206">
        <v>2.0640000000000001</v>
      </c>
      <c r="AA62" s="206">
        <v>48.841000000000001</v>
      </c>
      <c r="AB62" s="206">
        <v>32.878999999999998</v>
      </c>
      <c r="AC62" s="208">
        <v>0.36699999999999999</v>
      </c>
      <c r="AD62" s="207">
        <v>0.121</v>
      </c>
      <c r="AE62" s="207">
        <v>2.6920000000000002</v>
      </c>
      <c r="AF62" s="207">
        <v>0.26</v>
      </c>
      <c r="AG62" s="206">
        <v>136.351</v>
      </c>
      <c r="AH62" s="207">
        <v>0</v>
      </c>
      <c r="AI62" s="207">
        <v>0.29499999999999998</v>
      </c>
      <c r="AJ62" s="208">
        <v>0</v>
      </c>
      <c r="AK62" s="206">
        <v>27.850999999999999</v>
      </c>
      <c r="AL62" s="206">
        <v>27.850999999999999</v>
      </c>
      <c r="AM62" s="206">
        <v>0</v>
      </c>
      <c r="AN62" s="206">
        <v>237.27500000000001</v>
      </c>
      <c r="AO62" s="206">
        <v>45.234000000000002</v>
      </c>
      <c r="AP62" s="207">
        <v>0</v>
      </c>
      <c r="AQ62" s="206">
        <v>739.40099999999995</v>
      </c>
      <c r="AR62" s="206">
        <v>25.853999999999999</v>
      </c>
      <c r="AS62" s="207">
        <v>2.4</v>
      </c>
      <c r="AT62" s="207">
        <v>2.4</v>
      </c>
      <c r="AU62" s="207">
        <v>0</v>
      </c>
      <c r="AV62" s="207">
        <v>2.68</v>
      </c>
      <c r="AW62" s="206">
        <v>93.643000000000001</v>
      </c>
      <c r="AX62" s="208">
        <v>5.0000000000000001E-3</v>
      </c>
      <c r="AY62" s="208">
        <v>0.16700000000000001</v>
      </c>
      <c r="AZ62" s="207">
        <v>0</v>
      </c>
      <c r="BA62" s="207">
        <v>1.5089999999999999</v>
      </c>
      <c r="BB62" s="208">
        <v>0</v>
      </c>
      <c r="BC62" s="208">
        <v>0.1</v>
      </c>
      <c r="BD62" s="209">
        <v>0</v>
      </c>
      <c r="BE62" s="216">
        <v>0</v>
      </c>
    </row>
    <row r="63" spans="1:60">
      <c r="A63" s="184" t="s">
        <v>968</v>
      </c>
      <c r="B63" s="198" t="s">
        <v>1039</v>
      </c>
      <c r="C63" s="186">
        <v>459</v>
      </c>
      <c r="D63" s="187"/>
      <c r="E63" s="187" t="s">
        <v>949</v>
      </c>
      <c r="F63" s="206">
        <v>400.47500000000002</v>
      </c>
      <c r="G63" s="181">
        <v>77.875986775521227</v>
      </c>
      <c r="H63" s="181">
        <v>10.748262600364351</v>
      </c>
      <c r="I63" s="181">
        <v>11.375750624114433</v>
      </c>
      <c r="J63" s="206">
        <v>80.793999999999997</v>
      </c>
      <c r="K63" s="206">
        <v>4.9560000000000004</v>
      </c>
      <c r="L63" s="206">
        <v>4.2590000000000003</v>
      </c>
      <c r="M63" s="206">
        <v>0.69699999999999995</v>
      </c>
      <c r="N63" s="206">
        <v>11.802</v>
      </c>
      <c r="O63" s="206">
        <v>9.141</v>
      </c>
      <c r="P63" s="206">
        <v>2.661</v>
      </c>
      <c r="Q63" s="206">
        <v>3.8</v>
      </c>
      <c r="R63" s="207">
        <v>1.294</v>
      </c>
      <c r="S63" s="207">
        <v>1.9930000000000001</v>
      </c>
      <c r="T63" s="206">
        <v>230.898</v>
      </c>
      <c r="U63" s="206">
        <v>2.9689999999999999</v>
      </c>
      <c r="V63" s="206">
        <v>99.233000000000004</v>
      </c>
      <c r="W63" s="206">
        <v>0</v>
      </c>
      <c r="X63" s="206">
        <v>1190.8009999999999</v>
      </c>
      <c r="Y63" s="208">
        <v>0</v>
      </c>
      <c r="Z63" s="206">
        <v>2.5760000000000001</v>
      </c>
      <c r="AA63" s="206">
        <v>71.453999999999994</v>
      </c>
      <c r="AB63" s="206">
        <v>57.826999999999998</v>
      </c>
      <c r="AC63" s="208">
        <v>0.56699999999999995</v>
      </c>
      <c r="AD63" s="207">
        <v>0.23400000000000001</v>
      </c>
      <c r="AE63" s="207">
        <v>2.8210000000000002</v>
      </c>
      <c r="AF63" s="207">
        <v>0.35299999999999998</v>
      </c>
      <c r="AG63" s="206">
        <v>113.66200000000001</v>
      </c>
      <c r="AH63" s="207">
        <v>0</v>
      </c>
      <c r="AI63" s="207">
        <v>0.51100000000000001</v>
      </c>
      <c r="AJ63" s="208">
        <v>0</v>
      </c>
      <c r="AK63" s="206">
        <v>58.884999999999998</v>
      </c>
      <c r="AL63" s="206">
        <v>53.817</v>
      </c>
      <c r="AM63" s="206">
        <v>5.069</v>
      </c>
      <c r="AN63" s="206">
        <v>209.459</v>
      </c>
      <c r="AO63" s="206">
        <v>541.65599999999995</v>
      </c>
      <c r="AP63" s="207">
        <v>0.72599999999999998</v>
      </c>
      <c r="AQ63" s="206">
        <v>590.904</v>
      </c>
      <c r="AR63" s="206">
        <v>65.168999999999997</v>
      </c>
      <c r="AS63" s="207">
        <v>4.4850000000000003</v>
      </c>
      <c r="AT63" s="207">
        <v>4.0419999999999998</v>
      </c>
      <c r="AU63" s="207">
        <v>0.44400000000000001</v>
      </c>
      <c r="AV63" s="207">
        <v>1.77</v>
      </c>
      <c r="AW63" s="206">
        <v>363.18900000000002</v>
      </c>
      <c r="AX63" s="208">
        <v>5.3999999999999999E-2</v>
      </c>
      <c r="AY63" s="208">
        <v>1.841</v>
      </c>
      <c r="AZ63" s="207">
        <v>9.1509999999999998</v>
      </c>
      <c r="BA63" s="207">
        <v>33.04</v>
      </c>
      <c r="BB63" s="208">
        <v>0</v>
      </c>
      <c r="BC63" s="208">
        <v>1.6279999999999999</v>
      </c>
      <c r="BD63" s="209">
        <v>0</v>
      </c>
      <c r="BE63" s="216">
        <v>40.316000000000003</v>
      </c>
      <c r="BF63" s="188"/>
      <c r="BG63" s="188"/>
      <c r="BH63" s="189"/>
    </row>
    <row r="64" spans="1:60" ht="22.5">
      <c r="A64" s="184" t="s">
        <v>969</v>
      </c>
      <c r="B64" s="198" t="s">
        <v>1449</v>
      </c>
      <c r="C64" s="186">
        <v>412.99325025960536</v>
      </c>
      <c r="D64" s="187"/>
      <c r="E64" s="187" t="s">
        <v>949</v>
      </c>
      <c r="F64" s="206">
        <v>302.02100000000002</v>
      </c>
      <c r="G64" s="181">
        <v>58.748061860182673</v>
      </c>
      <c r="H64" s="181">
        <v>26.613626625648489</v>
      </c>
      <c r="I64" s="181">
        <v>14.638311514168842</v>
      </c>
      <c r="J64" s="206">
        <v>47.646000000000001</v>
      </c>
      <c r="K64" s="206">
        <v>9.593</v>
      </c>
      <c r="L64" s="206">
        <v>9.593</v>
      </c>
      <c r="M64" s="206">
        <v>0</v>
      </c>
      <c r="N64" s="206">
        <v>11.872</v>
      </c>
      <c r="O64" s="206">
        <v>11.872</v>
      </c>
      <c r="P64" s="206">
        <v>0</v>
      </c>
      <c r="Q64" s="206">
        <v>14.317</v>
      </c>
      <c r="R64" s="207">
        <v>2.3969999999999998</v>
      </c>
      <c r="S64" s="207">
        <v>10.984999999999999</v>
      </c>
      <c r="T64" s="206">
        <v>362.47500000000002</v>
      </c>
      <c r="U64" s="206">
        <v>3.5680000000000001</v>
      </c>
      <c r="V64" s="206">
        <v>371.45299999999997</v>
      </c>
      <c r="W64" s="206">
        <v>0</v>
      </c>
      <c r="X64" s="206">
        <v>4457.4319999999998</v>
      </c>
      <c r="Y64" s="208">
        <v>0.23300000000000001</v>
      </c>
      <c r="Z64" s="206">
        <v>4.7229999999999999</v>
      </c>
      <c r="AA64" s="206">
        <v>333.15899999999999</v>
      </c>
      <c r="AB64" s="206">
        <v>155.33699999999999</v>
      </c>
      <c r="AC64" s="208">
        <v>0.70399999999999996</v>
      </c>
      <c r="AD64" s="207">
        <v>0.71399999999999997</v>
      </c>
      <c r="AE64" s="207">
        <v>4.7670000000000003</v>
      </c>
      <c r="AF64" s="207">
        <v>0.41199999999999998</v>
      </c>
      <c r="AG64" s="206">
        <v>312.154</v>
      </c>
      <c r="AH64" s="207">
        <v>1.6E-2</v>
      </c>
      <c r="AI64" s="207">
        <v>1.212</v>
      </c>
      <c r="AJ64" s="208">
        <v>0</v>
      </c>
      <c r="AK64" s="206">
        <v>311.51299999999998</v>
      </c>
      <c r="AL64" s="206">
        <v>311.51299999999998</v>
      </c>
      <c r="AM64" s="206">
        <v>0</v>
      </c>
      <c r="AN64" s="206">
        <v>229.108</v>
      </c>
      <c r="AO64" s="206">
        <v>107.431</v>
      </c>
      <c r="AP64" s="207">
        <v>0.48399999999999999</v>
      </c>
      <c r="AQ64" s="206">
        <v>1291.3510000000001</v>
      </c>
      <c r="AR64" s="206">
        <v>116.505</v>
      </c>
      <c r="AS64" s="207">
        <v>6.4189999999999996</v>
      </c>
      <c r="AT64" s="207">
        <v>6.4189999999999996</v>
      </c>
      <c r="AU64" s="207">
        <v>0</v>
      </c>
      <c r="AV64" s="207">
        <v>1.8540000000000001</v>
      </c>
      <c r="AW64" s="206">
        <v>204.07400000000001</v>
      </c>
      <c r="AX64" s="208">
        <v>8.0000000000000002E-3</v>
      </c>
      <c r="AY64" s="208">
        <v>0.70199999999999996</v>
      </c>
      <c r="AZ64" s="207">
        <v>10.847</v>
      </c>
      <c r="BA64" s="207">
        <v>13.611000000000001</v>
      </c>
      <c r="BB64" s="208">
        <v>0</v>
      </c>
      <c r="BC64" s="208">
        <v>0.41599999999999998</v>
      </c>
      <c r="BD64" s="209">
        <v>0</v>
      </c>
      <c r="BE64" s="216">
        <v>26.878</v>
      </c>
      <c r="BF64" s="190"/>
      <c r="BG64" s="190"/>
      <c r="BH64" s="189"/>
    </row>
    <row r="65" spans="1:60" ht="22.5">
      <c r="A65" s="184" t="s">
        <v>970</v>
      </c>
      <c r="B65" s="198" t="s">
        <v>1040</v>
      </c>
      <c r="C65" s="186">
        <v>393.58701007643447</v>
      </c>
      <c r="D65" s="187"/>
      <c r="E65" s="187" t="s">
        <v>59</v>
      </c>
      <c r="F65" s="206">
        <v>279.45800000000003</v>
      </c>
      <c r="G65" s="181">
        <v>55.308781908846186</v>
      </c>
      <c r="H65" s="181">
        <v>29.443394302972919</v>
      </c>
      <c r="I65" s="181">
        <v>15.247823788180897</v>
      </c>
      <c r="J65" s="206">
        <v>40.012999999999998</v>
      </c>
      <c r="K65" s="206">
        <v>9.4670000000000005</v>
      </c>
      <c r="L65" s="206">
        <v>9.4670000000000005</v>
      </c>
      <c r="M65" s="206">
        <v>0</v>
      </c>
      <c r="N65" s="206">
        <v>11.031000000000001</v>
      </c>
      <c r="O65" s="206">
        <v>11.031000000000001</v>
      </c>
      <c r="P65" s="206">
        <v>0</v>
      </c>
      <c r="Q65" s="206">
        <v>5.9320000000000004</v>
      </c>
      <c r="R65" s="207">
        <v>0.33300000000000002</v>
      </c>
      <c r="S65" s="207">
        <v>3.927</v>
      </c>
      <c r="T65" s="206">
        <v>190.02</v>
      </c>
      <c r="U65" s="206">
        <v>4.8369999999999997</v>
      </c>
      <c r="V65" s="206">
        <v>228.84</v>
      </c>
      <c r="W65" s="206">
        <v>57.383000000000003</v>
      </c>
      <c r="X65" s="206">
        <v>2057.4850000000001</v>
      </c>
      <c r="Y65" s="208">
        <v>0</v>
      </c>
      <c r="Z65" s="206">
        <v>4.5389999999999997</v>
      </c>
      <c r="AA65" s="206">
        <v>190.101</v>
      </c>
      <c r="AB65" s="206">
        <v>130.001</v>
      </c>
      <c r="AC65" s="208">
        <v>0.434</v>
      </c>
      <c r="AD65" s="207">
        <v>0.42699999999999999</v>
      </c>
      <c r="AE65" s="207">
        <v>2.8820000000000001</v>
      </c>
      <c r="AF65" s="207">
        <v>0.41199999999999998</v>
      </c>
      <c r="AG65" s="206">
        <v>133.19</v>
      </c>
      <c r="AH65" s="207">
        <v>4.0000000000000001E-3</v>
      </c>
      <c r="AI65" s="207">
        <v>0.69799999999999995</v>
      </c>
      <c r="AJ65" s="208">
        <v>0</v>
      </c>
      <c r="AK65" s="206">
        <v>107.16500000000001</v>
      </c>
      <c r="AL65" s="206">
        <v>107.16500000000001</v>
      </c>
      <c r="AM65" s="206">
        <v>0</v>
      </c>
      <c r="AN65" s="206">
        <v>367.15600000000001</v>
      </c>
      <c r="AO65" s="206">
        <v>915.41300000000001</v>
      </c>
      <c r="AP65" s="207">
        <v>5.593</v>
      </c>
      <c r="AQ65" s="206">
        <v>721.73900000000003</v>
      </c>
      <c r="AR65" s="206">
        <v>45.848999999999997</v>
      </c>
      <c r="AS65" s="207">
        <v>3.052</v>
      </c>
      <c r="AT65" s="207">
        <v>3.052</v>
      </c>
      <c r="AU65" s="207">
        <v>0</v>
      </c>
      <c r="AV65" s="207">
        <v>1.627</v>
      </c>
      <c r="AW65" s="206">
        <v>93.950999999999993</v>
      </c>
      <c r="AX65" s="208">
        <v>0</v>
      </c>
      <c r="AY65" s="208">
        <v>0.48499999999999999</v>
      </c>
      <c r="AZ65" s="207">
        <v>0</v>
      </c>
      <c r="BA65" s="207">
        <v>0.82099999999999995</v>
      </c>
      <c r="BB65" s="208">
        <v>0</v>
      </c>
      <c r="BC65" s="208">
        <v>2.778</v>
      </c>
      <c r="BD65" s="209">
        <v>3.5000000000000003E-2</v>
      </c>
      <c r="BE65" s="216">
        <v>145.27799999999999</v>
      </c>
      <c r="BF65" s="191"/>
      <c r="BG65" s="191"/>
      <c r="BH65" s="189"/>
    </row>
    <row r="66" spans="1:60">
      <c r="A66" s="184" t="s">
        <v>971</v>
      </c>
      <c r="B66" s="198" t="s">
        <v>972</v>
      </c>
      <c r="C66" s="186">
        <v>433.16784418560246</v>
      </c>
      <c r="D66" s="187"/>
      <c r="E66" s="187" t="s">
        <v>949</v>
      </c>
      <c r="F66" s="206">
        <v>372.52600000000001</v>
      </c>
      <c r="G66" s="181">
        <v>67.077163271971258</v>
      </c>
      <c r="H66" s="181">
        <v>20.238332311074643</v>
      </c>
      <c r="I66" s="181">
        <v>12.684504416954095</v>
      </c>
      <c r="J66" s="206">
        <v>63.155999999999999</v>
      </c>
      <c r="K66" s="206">
        <v>8.4689999999999994</v>
      </c>
      <c r="L66" s="206">
        <v>8.4689999999999994</v>
      </c>
      <c r="M66" s="206">
        <v>0</v>
      </c>
      <c r="N66" s="206">
        <v>11.943</v>
      </c>
      <c r="O66" s="206">
        <v>11.943</v>
      </c>
      <c r="P66" s="206">
        <v>0</v>
      </c>
      <c r="Q66" s="206">
        <v>13.125</v>
      </c>
      <c r="R66" s="207">
        <v>1.8</v>
      </c>
      <c r="S66" s="207">
        <v>9.2490000000000006</v>
      </c>
      <c r="T66" s="206">
        <v>150.79400000000001</v>
      </c>
      <c r="U66" s="206">
        <v>2.4089999999999998</v>
      </c>
      <c r="V66" s="206">
        <v>40.761000000000003</v>
      </c>
      <c r="W66" s="206">
        <v>0</v>
      </c>
      <c r="X66" s="206">
        <v>489.13200000000001</v>
      </c>
      <c r="Y66" s="208">
        <v>0</v>
      </c>
      <c r="Z66" s="206">
        <v>1.8740000000000001</v>
      </c>
      <c r="AA66" s="206">
        <v>44.296999999999997</v>
      </c>
      <c r="AB66" s="206">
        <v>27.286999999999999</v>
      </c>
      <c r="AC66" s="208">
        <v>0.80900000000000005</v>
      </c>
      <c r="AD66" s="207">
        <v>0.219</v>
      </c>
      <c r="AE66" s="207">
        <v>2.883</v>
      </c>
      <c r="AF66" s="207">
        <v>0.35</v>
      </c>
      <c r="AG66" s="206">
        <v>174.06200000000001</v>
      </c>
      <c r="AH66" s="207">
        <v>0</v>
      </c>
      <c r="AI66" s="207">
        <v>0.78500000000000003</v>
      </c>
      <c r="AJ66" s="208">
        <v>0</v>
      </c>
      <c r="AK66" s="206">
        <v>80.259</v>
      </c>
      <c r="AL66" s="206">
        <v>80.259</v>
      </c>
      <c r="AM66" s="206">
        <v>0</v>
      </c>
      <c r="AN66" s="206">
        <v>290.80500000000001</v>
      </c>
      <c r="AO66" s="206">
        <v>12.775</v>
      </c>
      <c r="AP66" s="207">
        <v>0</v>
      </c>
      <c r="AQ66" s="206">
        <v>761.154</v>
      </c>
      <c r="AR66" s="206">
        <v>78.566999999999993</v>
      </c>
      <c r="AS66" s="207">
        <v>7.0979999999999999</v>
      </c>
      <c r="AT66" s="207">
        <v>7.0979999999999999</v>
      </c>
      <c r="AU66" s="207">
        <v>0</v>
      </c>
      <c r="AV66" s="207">
        <v>2.254</v>
      </c>
      <c r="AW66" s="206">
        <v>146.25200000000001</v>
      </c>
      <c r="AX66" s="208">
        <v>1E-3</v>
      </c>
      <c r="AY66" s="208">
        <v>0.40899999999999997</v>
      </c>
      <c r="AZ66" s="207">
        <v>1.099</v>
      </c>
      <c r="BA66" s="207">
        <v>11.433999999999999</v>
      </c>
      <c r="BB66" s="208">
        <v>0</v>
      </c>
      <c r="BC66" s="208">
        <v>2.0129999999999999</v>
      </c>
      <c r="BD66" s="209">
        <v>0</v>
      </c>
      <c r="BE66" s="216">
        <v>0</v>
      </c>
      <c r="BF66" s="192"/>
      <c r="BG66" s="192"/>
      <c r="BH66" s="189"/>
    </row>
    <row r="67" spans="1:60" ht="22.5">
      <c r="A67" s="184" t="s">
        <v>973</v>
      </c>
      <c r="B67" s="198" t="s">
        <v>1041</v>
      </c>
      <c r="C67" s="186">
        <v>446.40313852813858</v>
      </c>
      <c r="D67" s="187"/>
      <c r="E67" s="187" t="s">
        <v>949</v>
      </c>
      <c r="F67" s="206">
        <v>318.101</v>
      </c>
      <c r="G67" s="181">
        <v>39.59163124074631</v>
      </c>
      <c r="H67" s="181">
        <v>44.456128957301203</v>
      </c>
      <c r="I67" s="181">
        <v>15.952239801952473</v>
      </c>
      <c r="J67" s="206">
        <v>33.225000000000001</v>
      </c>
      <c r="K67" s="206">
        <v>16.581</v>
      </c>
      <c r="L67" s="206">
        <v>16.581</v>
      </c>
      <c r="M67" s="206">
        <v>0</v>
      </c>
      <c r="N67" s="206">
        <v>13.387</v>
      </c>
      <c r="O67" s="206">
        <v>13.387</v>
      </c>
      <c r="P67" s="206">
        <v>0</v>
      </c>
      <c r="Q67" s="206">
        <v>11.808</v>
      </c>
      <c r="R67" s="207">
        <v>1.603</v>
      </c>
      <c r="S67" s="207">
        <v>4.72</v>
      </c>
      <c r="T67" s="206">
        <v>399.55700000000002</v>
      </c>
      <c r="U67" s="206">
        <v>5.1689999999999996</v>
      </c>
      <c r="V67" s="206">
        <v>309.81200000000001</v>
      </c>
      <c r="W67" s="206">
        <v>0</v>
      </c>
      <c r="X67" s="206">
        <v>3717.7440000000001</v>
      </c>
      <c r="Y67" s="208">
        <v>0</v>
      </c>
      <c r="Z67" s="206">
        <v>4.3490000000000002</v>
      </c>
      <c r="AA67" s="206">
        <v>342.404</v>
      </c>
      <c r="AB67" s="206">
        <v>54.951000000000001</v>
      </c>
      <c r="AC67" s="208">
        <v>0.61299999999999999</v>
      </c>
      <c r="AD67" s="207">
        <v>0.45800000000000002</v>
      </c>
      <c r="AE67" s="207">
        <v>3.6059999999999999</v>
      </c>
      <c r="AF67" s="207">
        <v>0.55700000000000005</v>
      </c>
      <c r="AG67" s="206">
        <v>367.07</v>
      </c>
      <c r="AH67" s="207">
        <v>0</v>
      </c>
      <c r="AI67" s="207">
        <v>0.505</v>
      </c>
      <c r="AJ67" s="208">
        <v>0</v>
      </c>
      <c r="AK67" s="206">
        <v>126.68</v>
      </c>
      <c r="AL67" s="206">
        <v>126.68</v>
      </c>
      <c r="AM67" s="206">
        <v>0</v>
      </c>
      <c r="AN67" s="206">
        <v>178.81200000000001</v>
      </c>
      <c r="AO67" s="206">
        <v>781.77300000000002</v>
      </c>
      <c r="AP67" s="207">
        <v>2.2989999999999999</v>
      </c>
      <c r="AQ67" s="206">
        <v>1398.2819999999999</v>
      </c>
      <c r="AR67" s="206">
        <v>61.896000000000001</v>
      </c>
      <c r="AS67" s="207">
        <v>5.4290000000000003</v>
      </c>
      <c r="AT67" s="207">
        <v>5.4290000000000003</v>
      </c>
      <c r="AU67" s="207">
        <v>0</v>
      </c>
      <c r="AV67" s="207">
        <v>2.044</v>
      </c>
      <c r="AW67" s="206">
        <v>231.67699999999999</v>
      </c>
      <c r="AX67" s="208">
        <v>0</v>
      </c>
      <c r="AY67" s="208">
        <v>0.14299999999999999</v>
      </c>
      <c r="AZ67" s="207">
        <v>0</v>
      </c>
      <c r="BA67" s="207">
        <v>1.1299999999999999</v>
      </c>
      <c r="BB67" s="208">
        <v>0</v>
      </c>
      <c r="BC67" s="208">
        <v>1</v>
      </c>
      <c r="BD67" s="209">
        <v>0</v>
      </c>
      <c r="BE67" s="216">
        <v>127.669</v>
      </c>
      <c r="BF67" s="193"/>
      <c r="BG67" s="193"/>
      <c r="BH67" s="189"/>
    </row>
    <row r="68" spans="1:60">
      <c r="A68" s="184" t="s">
        <v>974</v>
      </c>
      <c r="B68" s="198" t="s">
        <v>1042</v>
      </c>
      <c r="C68" s="186">
        <v>435.99005054113411</v>
      </c>
      <c r="D68" s="187"/>
      <c r="E68" s="187" t="s">
        <v>949</v>
      </c>
      <c r="F68" s="206">
        <v>248.024</v>
      </c>
      <c r="G68" s="181">
        <v>69.521666432266031</v>
      </c>
      <c r="H68" s="181">
        <v>21.982091791289672</v>
      </c>
      <c r="I68" s="181">
        <v>8.4962417764442986</v>
      </c>
      <c r="J68" s="206">
        <v>44.488999999999997</v>
      </c>
      <c r="K68" s="206">
        <v>6.2519999999999998</v>
      </c>
      <c r="L68" s="206">
        <v>6.2519999999999998</v>
      </c>
      <c r="M68" s="206">
        <v>0</v>
      </c>
      <c r="N68" s="206">
        <v>5.4370000000000003</v>
      </c>
      <c r="O68" s="206">
        <v>5.4370000000000003</v>
      </c>
      <c r="P68" s="206">
        <v>0</v>
      </c>
      <c r="Q68" s="206">
        <v>7.0129999999999999</v>
      </c>
      <c r="R68" s="207">
        <v>1.482</v>
      </c>
      <c r="S68" s="207">
        <v>2.79</v>
      </c>
      <c r="T68" s="206">
        <v>238.16200000000001</v>
      </c>
      <c r="U68" s="206">
        <v>2.085</v>
      </c>
      <c r="V68" s="206">
        <v>726.05100000000004</v>
      </c>
      <c r="W68" s="206">
        <v>0</v>
      </c>
      <c r="X68" s="206">
        <v>8712.6119999999992</v>
      </c>
      <c r="Y68" s="208">
        <v>0</v>
      </c>
      <c r="Z68" s="206">
        <v>1.333</v>
      </c>
      <c r="AA68" s="206">
        <v>45.075000000000003</v>
      </c>
      <c r="AB68" s="206">
        <v>30.187000000000001</v>
      </c>
      <c r="AC68" s="208">
        <v>0.27900000000000003</v>
      </c>
      <c r="AD68" s="207">
        <v>0.2</v>
      </c>
      <c r="AE68" s="207">
        <v>2.673</v>
      </c>
      <c r="AF68" s="207">
        <v>0.20100000000000001</v>
      </c>
      <c r="AG68" s="206">
        <v>73.402000000000001</v>
      </c>
      <c r="AH68" s="207">
        <v>0</v>
      </c>
      <c r="AI68" s="207">
        <v>0.53800000000000003</v>
      </c>
      <c r="AJ68" s="208">
        <v>1.784</v>
      </c>
      <c r="AK68" s="206">
        <v>92.938999999999993</v>
      </c>
      <c r="AL68" s="206">
        <v>92.938999999999993</v>
      </c>
      <c r="AM68" s="206">
        <v>0</v>
      </c>
      <c r="AN68" s="206">
        <v>105.76300000000001</v>
      </c>
      <c r="AO68" s="206">
        <v>221.876</v>
      </c>
      <c r="AP68" s="207">
        <v>180.94800000000001</v>
      </c>
      <c r="AQ68" s="206">
        <v>727.80399999999997</v>
      </c>
      <c r="AR68" s="206">
        <v>18.875</v>
      </c>
      <c r="AS68" s="207">
        <v>2.7389999999999999</v>
      </c>
      <c r="AT68" s="207">
        <v>2.7389999999999999</v>
      </c>
      <c r="AU68" s="207">
        <v>0</v>
      </c>
      <c r="AV68" s="207">
        <v>1.0429999999999999</v>
      </c>
      <c r="AW68" s="206">
        <v>112.896</v>
      </c>
      <c r="AX68" s="208">
        <v>1.0999999999999999E-2</v>
      </c>
      <c r="AY68" s="208">
        <v>0.27300000000000002</v>
      </c>
      <c r="AZ68" s="207">
        <v>0</v>
      </c>
      <c r="BA68" s="207">
        <v>17.190000000000001</v>
      </c>
      <c r="BB68" s="208">
        <v>0</v>
      </c>
      <c r="BC68" s="208">
        <v>1.859</v>
      </c>
      <c r="BD68" s="209">
        <v>0</v>
      </c>
      <c r="BE68" s="216">
        <v>0</v>
      </c>
      <c r="BF68" s="194"/>
      <c r="BG68" s="194"/>
      <c r="BH68" s="189"/>
    </row>
    <row r="69" spans="1:60" ht="22.5">
      <c r="A69" s="184" t="s">
        <v>975</v>
      </c>
      <c r="B69" s="198" t="s">
        <v>1043</v>
      </c>
      <c r="C69" s="186">
        <v>427.76171093973153</v>
      </c>
      <c r="D69" s="187"/>
      <c r="E69" s="187" t="s">
        <v>949</v>
      </c>
      <c r="F69" s="206">
        <v>406.42899999999997</v>
      </c>
      <c r="G69" s="181">
        <v>46.559695403861838</v>
      </c>
      <c r="H69" s="181">
        <v>37.573463997455555</v>
      </c>
      <c r="I69" s="181">
        <v>15.866840598682602</v>
      </c>
      <c r="J69" s="206">
        <v>50.503999999999998</v>
      </c>
      <c r="K69" s="206">
        <v>18.114000000000001</v>
      </c>
      <c r="L69" s="206">
        <v>18.114000000000001</v>
      </c>
      <c r="M69" s="206">
        <v>0</v>
      </c>
      <c r="N69" s="206">
        <v>17.210999999999999</v>
      </c>
      <c r="O69" s="206">
        <v>17.210999999999999</v>
      </c>
      <c r="P69" s="206">
        <v>0</v>
      </c>
      <c r="Q69" s="206">
        <v>13.115</v>
      </c>
      <c r="R69" s="207">
        <v>1.4810000000000001</v>
      </c>
      <c r="S69" s="207">
        <v>4.7910000000000004</v>
      </c>
      <c r="T69" s="206">
        <v>293.07100000000003</v>
      </c>
      <c r="U69" s="206">
        <v>4.37</v>
      </c>
      <c r="V69" s="206">
        <v>687.23</v>
      </c>
      <c r="W69" s="206">
        <v>0</v>
      </c>
      <c r="X69" s="206">
        <v>8246.7549999999992</v>
      </c>
      <c r="Y69" s="208">
        <v>0</v>
      </c>
      <c r="Z69" s="206">
        <v>9.2309999999999999</v>
      </c>
      <c r="AA69" s="206">
        <v>189.86600000000001</v>
      </c>
      <c r="AB69" s="206">
        <v>79.39</v>
      </c>
      <c r="AC69" s="208">
        <v>0.43099999999999999</v>
      </c>
      <c r="AD69" s="207">
        <v>0.39600000000000002</v>
      </c>
      <c r="AE69" s="207">
        <v>2.9460000000000002</v>
      </c>
      <c r="AF69" s="207">
        <v>0.36</v>
      </c>
      <c r="AG69" s="206">
        <v>152.982</v>
      </c>
      <c r="AH69" s="207">
        <v>0</v>
      </c>
      <c r="AI69" s="207">
        <v>0.48199999999999998</v>
      </c>
      <c r="AJ69" s="208">
        <v>0</v>
      </c>
      <c r="AK69" s="206">
        <v>199.953</v>
      </c>
      <c r="AL69" s="206">
        <v>199.953</v>
      </c>
      <c r="AM69" s="206">
        <v>0</v>
      </c>
      <c r="AN69" s="206">
        <v>354.58499999999998</v>
      </c>
      <c r="AO69" s="206">
        <v>141.01</v>
      </c>
      <c r="AP69" s="207">
        <v>0</v>
      </c>
      <c r="AQ69" s="206">
        <v>1436.039</v>
      </c>
      <c r="AR69" s="206">
        <v>38.165999999999997</v>
      </c>
      <c r="AS69" s="207">
        <v>5.4260000000000002</v>
      </c>
      <c r="AT69" s="207">
        <v>5.4260000000000002</v>
      </c>
      <c r="AU69" s="207">
        <v>0</v>
      </c>
      <c r="AV69" s="207">
        <v>1.25</v>
      </c>
      <c r="AW69" s="206">
        <v>132.71299999999999</v>
      </c>
      <c r="AX69" s="208">
        <v>2E-3</v>
      </c>
      <c r="AY69" s="208">
        <v>0.42599999999999999</v>
      </c>
      <c r="AZ69" s="207">
        <v>0.63400000000000001</v>
      </c>
      <c r="BA69" s="207">
        <v>10.523999999999999</v>
      </c>
      <c r="BB69" s="208">
        <v>0</v>
      </c>
      <c r="BC69" s="208">
        <v>1.3129999999999999</v>
      </c>
      <c r="BD69" s="209">
        <v>5.3999999999999999E-2</v>
      </c>
      <c r="BE69" s="216">
        <v>76.153999999999996</v>
      </c>
      <c r="BF69" s="195"/>
      <c r="BG69" s="195"/>
      <c r="BH69" s="189"/>
    </row>
    <row r="70" spans="1:60">
      <c r="A70" s="218" t="s">
        <v>976</v>
      </c>
      <c r="B70" s="227" t="s">
        <v>1044</v>
      </c>
      <c r="C70" s="221">
        <v>431.43881208397335</v>
      </c>
      <c r="D70" s="222"/>
      <c r="E70" s="222" t="s">
        <v>192</v>
      </c>
      <c r="F70" s="231">
        <v>262.291</v>
      </c>
      <c r="G70" s="232">
        <v>62.053640564281167</v>
      </c>
      <c r="H70" s="232">
        <v>22.763926054245612</v>
      </c>
      <c r="I70" s="181">
        <v>15.182433381473222</v>
      </c>
      <c r="J70" s="206">
        <v>43.075000000000003</v>
      </c>
      <c r="K70" s="206">
        <v>7.0229999999999997</v>
      </c>
      <c r="L70" s="206">
        <v>7.0229999999999997</v>
      </c>
      <c r="M70" s="206">
        <v>0</v>
      </c>
      <c r="N70" s="206">
        <v>10.539</v>
      </c>
      <c r="O70" s="206">
        <v>10.539</v>
      </c>
      <c r="P70" s="206">
        <v>0</v>
      </c>
      <c r="Q70" s="206">
        <v>6.1219999999999999</v>
      </c>
      <c r="R70" s="207">
        <v>0.57199999999999995</v>
      </c>
      <c r="S70" s="207">
        <v>1.222</v>
      </c>
      <c r="T70" s="206">
        <v>212.91900000000001</v>
      </c>
      <c r="U70" s="206">
        <v>3.004</v>
      </c>
      <c r="V70" s="206">
        <v>77.760000000000005</v>
      </c>
      <c r="W70" s="206">
        <v>56.734999999999999</v>
      </c>
      <c r="X70" s="206">
        <v>252.29400000000001</v>
      </c>
      <c r="Y70" s="208">
        <v>0</v>
      </c>
      <c r="Z70" s="206">
        <v>1.8140000000000001</v>
      </c>
      <c r="AA70" s="206">
        <v>22.710999999999999</v>
      </c>
      <c r="AB70" s="206">
        <v>13.627000000000001</v>
      </c>
      <c r="AC70" s="208">
        <v>0.33900000000000002</v>
      </c>
      <c r="AD70" s="207">
        <v>0.125</v>
      </c>
      <c r="AE70" s="207">
        <v>2.081</v>
      </c>
      <c r="AF70" s="207">
        <v>0.29399999999999998</v>
      </c>
      <c r="AG70" s="206">
        <v>81.662000000000006</v>
      </c>
      <c r="AH70" s="207">
        <v>4.0000000000000001E-3</v>
      </c>
      <c r="AI70" s="207">
        <v>0.38200000000000001</v>
      </c>
      <c r="AJ70" s="208">
        <v>1.2999999999999999E-2</v>
      </c>
      <c r="AK70" s="206">
        <v>75.506</v>
      </c>
      <c r="AL70" s="206">
        <v>75.506</v>
      </c>
      <c r="AM70" s="206">
        <v>0</v>
      </c>
      <c r="AN70" s="206">
        <v>210.315</v>
      </c>
      <c r="AO70" s="206">
        <v>23.213999999999999</v>
      </c>
      <c r="AP70" s="207">
        <v>9.6780000000000008</v>
      </c>
      <c r="AQ70" s="206">
        <v>728.54</v>
      </c>
      <c r="AR70" s="206">
        <v>70.391999999999996</v>
      </c>
      <c r="AS70" s="207">
        <v>2.9929999999999999</v>
      </c>
      <c r="AT70" s="207">
        <v>2.9929999999999999</v>
      </c>
      <c r="AU70" s="207">
        <v>0</v>
      </c>
      <c r="AV70" s="207">
        <v>1.2170000000000001</v>
      </c>
      <c r="AW70" s="206">
        <v>276.952</v>
      </c>
      <c r="AX70" s="208">
        <v>1E-3</v>
      </c>
      <c r="AY70" s="208">
        <v>0.78800000000000003</v>
      </c>
      <c r="AZ70" s="207">
        <v>0.72799999999999998</v>
      </c>
      <c r="BA70" s="207">
        <v>3.0070000000000001</v>
      </c>
      <c r="BB70" s="208">
        <v>0</v>
      </c>
      <c r="BC70" s="208">
        <v>0.501</v>
      </c>
      <c r="BD70" s="209">
        <v>3.5000000000000003E-2</v>
      </c>
      <c r="BE70" s="216">
        <v>0</v>
      </c>
      <c r="BF70" s="196"/>
      <c r="BG70" s="196"/>
      <c r="BH70" s="189"/>
    </row>
    <row r="71" spans="1:60">
      <c r="A71" s="218" t="s">
        <v>977</v>
      </c>
      <c r="B71" s="227" t="s">
        <v>1045</v>
      </c>
      <c r="C71" s="221">
        <v>450.54545454545456</v>
      </c>
      <c r="D71" s="222"/>
      <c r="E71" s="222" t="s">
        <v>949</v>
      </c>
      <c r="F71" s="231">
        <v>258.45299999999997</v>
      </c>
      <c r="G71" s="232">
        <v>46.339524568325608</v>
      </c>
      <c r="H71" s="232">
        <v>29.914300337208751</v>
      </c>
      <c r="I71" s="181">
        <v>23.746175094465638</v>
      </c>
      <c r="J71" s="206">
        <v>31.916</v>
      </c>
      <c r="K71" s="206">
        <v>9.157</v>
      </c>
      <c r="L71" s="206">
        <v>9.157</v>
      </c>
      <c r="M71" s="206">
        <v>0</v>
      </c>
      <c r="N71" s="206">
        <v>16.355</v>
      </c>
      <c r="O71" s="206">
        <v>16.355</v>
      </c>
      <c r="P71" s="206">
        <v>0</v>
      </c>
      <c r="Q71" s="206">
        <v>9.1349999999999998</v>
      </c>
      <c r="R71" s="207">
        <v>0.48199999999999998</v>
      </c>
      <c r="S71" s="207">
        <v>2.15</v>
      </c>
      <c r="T71" s="206">
        <v>225.09899999999999</v>
      </c>
      <c r="U71" s="206">
        <v>3.117</v>
      </c>
      <c r="V71" s="206">
        <v>40.078000000000003</v>
      </c>
      <c r="W71" s="206">
        <v>0</v>
      </c>
      <c r="X71" s="206">
        <v>480.93099999999998</v>
      </c>
      <c r="Y71" s="208">
        <v>0</v>
      </c>
      <c r="Z71" s="206">
        <v>0.76900000000000002</v>
      </c>
      <c r="AA71" s="206">
        <v>6.8860000000000001</v>
      </c>
      <c r="AB71" s="206">
        <v>84.204999999999998</v>
      </c>
      <c r="AC71" s="208">
        <v>0.34899999999999998</v>
      </c>
      <c r="AD71" s="207">
        <v>0.185</v>
      </c>
      <c r="AE71" s="207">
        <v>1.8089999999999999</v>
      </c>
      <c r="AF71" s="207">
        <v>0.19700000000000001</v>
      </c>
      <c r="AG71" s="206">
        <v>103.628</v>
      </c>
      <c r="AH71" s="207">
        <v>0.61</v>
      </c>
      <c r="AI71" s="207">
        <v>0.61</v>
      </c>
      <c r="AJ71" s="208">
        <v>0</v>
      </c>
      <c r="AK71" s="206">
        <v>145.54499999999999</v>
      </c>
      <c r="AL71" s="206">
        <v>145.54499999999999</v>
      </c>
      <c r="AM71" s="206">
        <v>0</v>
      </c>
      <c r="AN71" s="206">
        <v>306.74200000000002</v>
      </c>
      <c r="AO71" s="206">
        <v>50.337000000000003</v>
      </c>
      <c r="AP71" s="207">
        <v>0</v>
      </c>
      <c r="AQ71" s="206">
        <v>749.43600000000004</v>
      </c>
      <c r="AR71" s="206">
        <v>30.181000000000001</v>
      </c>
      <c r="AS71" s="207">
        <v>3.3559999999999999</v>
      </c>
      <c r="AT71" s="207">
        <v>3.3559999999999999</v>
      </c>
      <c r="AU71" s="207">
        <v>0</v>
      </c>
      <c r="AV71" s="207">
        <v>0.77300000000000002</v>
      </c>
      <c r="AW71" s="206">
        <v>135.078</v>
      </c>
      <c r="AX71" s="208">
        <v>0</v>
      </c>
      <c r="AY71" s="208">
        <v>0.22500000000000001</v>
      </c>
      <c r="AZ71" s="207">
        <v>5.65</v>
      </c>
      <c r="BA71" s="207">
        <v>8.8109999999999999</v>
      </c>
      <c r="BB71" s="208">
        <v>0</v>
      </c>
      <c r="BC71" s="208">
        <v>2.1219999999999999</v>
      </c>
      <c r="BD71" s="209">
        <v>0</v>
      </c>
      <c r="BE71" s="216">
        <v>0</v>
      </c>
      <c r="BF71" s="197"/>
      <c r="BG71" s="197"/>
      <c r="BH71" s="189"/>
    </row>
    <row r="72" spans="1:60">
      <c r="A72" s="218" t="s">
        <v>982</v>
      </c>
      <c r="B72" s="220" t="s">
        <v>1450</v>
      </c>
      <c r="C72" s="221">
        <v>207.14285714285717</v>
      </c>
      <c r="D72" s="228"/>
      <c r="E72" s="228" t="s">
        <v>50</v>
      </c>
      <c r="F72" s="231">
        <v>429.28699999999998</v>
      </c>
      <c r="G72" s="232">
        <v>44.587573247456049</v>
      </c>
      <c r="H72" s="232">
        <v>41.223703837206273</v>
      </c>
      <c r="I72" s="181">
        <v>14.188722915337678</v>
      </c>
      <c r="J72" s="206">
        <v>47.005000000000003</v>
      </c>
      <c r="K72" s="206">
        <v>19.315000000000001</v>
      </c>
      <c r="L72" s="206">
        <v>13.15</v>
      </c>
      <c r="M72" s="206">
        <v>6.165</v>
      </c>
      <c r="N72" s="206">
        <v>14.958</v>
      </c>
      <c r="O72" s="206">
        <v>7.0880000000000001</v>
      </c>
      <c r="P72" s="206">
        <v>7.87</v>
      </c>
      <c r="Q72" s="206">
        <v>3.6190000000000002</v>
      </c>
      <c r="R72" s="207">
        <v>0.56499999999999995</v>
      </c>
      <c r="S72" s="207">
        <v>1.085</v>
      </c>
      <c r="T72" s="206">
        <v>109.84</v>
      </c>
      <c r="U72" s="206">
        <v>2.673</v>
      </c>
      <c r="V72" s="206">
        <v>61.35</v>
      </c>
      <c r="W72" s="206">
        <v>60.85</v>
      </c>
      <c r="X72" s="206">
        <v>6</v>
      </c>
      <c r="Y72" s="208">
        <v>1.49</v>
      </c>
      <c r="Z72" s="206">
        <v>12.378</v>
      </c>
      <c r="AA72" s="206">
        <v>23.253</v>
      </c>
      <c r="AB72" s="206">
        <v>0.5</v>
      </c>
      <c r="AC72" s="208">
        <v>0.46700000000000003</v>
      </c>
      <c r="AD72" s="207">
        <v>0.73099999999999998</v>
      </c>
      <c r="AE72" s="207">
        <v>3.4809999999999999</v>
      </c>
      <c r="AF72" s="207">
        <v>0.107</v>
      </c>
      <c r="AG72" s="206">
        <v>91.438000000000002</v>
      </c>
      <c r="AH72" s="207">
        <v>0.92900000000000005</v>
      </c>
      <c r="AI72" s="207">
        <v>0.97199999999999998</v>
      </c>
      <c r="AJ72" s="208">
        <v>4.5999999999999999E-2</v>
      </c>
      <c r="AK72" s="206">
        <v>175.161</v>
      </c>
      <c r="AL72" s="206">
        <v>94.061000000000007</v>
      </c>
      <c r="AM72" s="206">
        <v>81.099999999999994</v>
      </c>
      <c r="AN72" s="206">
        <v>227.76300000000001</v>
      </c>
      <c r="AO72" s="206">
        <v>608.36599999999999</v>
      </c>
      <c r="AP72" s="207">
        <v>51.725999999999999</v>
      </c>
      <c r="AQ72" s="206">
        <v>258.92500000000001</v>
      </c>
      <c r="AR72" s="206">
        <v>6.6</v>
      </c>
      <c r="AS72" s="207">
        <v>3.6240000000000001</v>
      </c>
      <c r="AT72" s="207">
        <v>2.6389999999999998</v>
      </c>
      <c r="AU72" s="207">
        <v>0.98499999999999999</v>
      </c>
      <c r="AV72" s="207">
        <v>0.93600000000000005</v>
      </c>
      <c r="AW72" s="206">
        <v>104.012</v>
      </c>
      <c r="AX72" s="208">
        <v>1E-3</v>
      </c>
      <c r="AY72" s="208">
        <v>2.3E-2</v>
      </c>
      <c r="AZ72" s="207">
        <v>25.83</v>
      </c>
      <c r="BA72" s="207">
        <v>19.285</v>
      </c>
      <c r="BB72" s="208">
        <v>0</v>
      </c>
      <c r="BC72" s="208">
        <v>0</v>
      </c>
      <c r="BD72" s="209">
        <v>224.19800000000001</v>
      </c>
      <c r="BE72" s="216">
        <v>40.316000000000003</v>
      </c>
    </row>
    <row r="73" spans="1:60">
      <c r="A73" s="218" t="s">
        <v>983</v>
      </c>
      <c r="B73" s="229" t="s">
        <v>1451</v>
      </c>
      <c r="C73" s="221">
        <v>287.52039151712887</v>
      </c>
      <c r="D73" s="228"/>
      <c r="E73" s="228" t="s">
        <v>53</v>
      </c>
      <c r="F73" s="231">
        <v>549.40300000000002</v>
      </c>
      <c r="G73" s="232">
        <v>28.598817525447583</v>
      </c>
      <c r="H73" s="232">
        <v>51.829954174955247</v>
      </c>
      <c r="I73" s="181">
        <v>19.571228299597156</v>
      </c>
      <c r="J73" s="206">
        <v>38.709000000000003</v>
      </c>
      <c r="K73" s="206">
        <v>31.178999999999998</v>
      </c>
      <c r="L73" s="206">
        <v>6.12</v>
      </c>
      <c r="M73" s="206">
        <v>25.059000000000001</v>
      </c>
      <c r="N73" s="206">
        <v>26.49</v>
      </c>
      <c r="O73" s="206">
        <v>3.5649999999999999</v>
      </c>
      <c r="P73" s="206">
        <v>22.925000000000001</v>
      </c>
      <c r="Q73" s="206">
        <v>3.4529999999999998</v>
      </c>
      <c r="R73" s="207">
        <v>0.86</v>
      </c>
      <c r="S73" s="207">
        <v>1.45</v>
      </c>
      <c r="T73" s="206">
        <v>271.65899999999999</v>
      </c>
      <c r="U73" s="206">
        <v>3.972</v>
      </c>
      <c r="V73" s="206">
        <v>131.476</v>
      </c>
      <c r="W73" s="206">
        <v>118.63</v>
      </c>
      <c r="X73" s="206">
        <v>154.15</v>
      </c>
      <c r="Y73" s="208">
        <v>2.0299999999999998</v>
      </c>
      <c r="Z73" s="206">
        <v>9.6069999999999993</v>
      </c>
      <c r="AA73" s="206">
        <v>12.986000000000001</v>
      </c>
      <c r="AB73" s="206">
        <v>78.001999999999995</v>
      </c>
      <c r="AC73" s="208">
        <v>0.60499999999999998</v>
      </c>
      <c r="AD73" s="207">
        <v>0.96199999999999997</v>
      </c>
      <c r="AE73" s="207">
        <v>5.2</v>
      </c>
      <c r="AF73" s="207">
        <v>0.441</v>
      </c>
      <c r="AG73" s="206">
        <v>257.88200000000001</v>
      </c>
      <c r="AH73" s="207">
        <v>1.4279999999999999</v>
      </c>
      <c r="AI73" s="207">
        <v>1.5880000000000001</v>
      </c>
      <c r="AJ73" s="208">
        <v>0</v>
      </c>
      <c r="AK73" s="206">
        <v>107.816</v>
      </c>
      <c r="AL73" s="206">
        <v>46.436</v>
      </c>
      <c r="AM73" s="206">
        <v>61.38</v>
      </c>
      <c r="AN73" s="206">
        <v>410.786</v>
      </c>
      <c r="AO73" s="206">
        <v>1042.479</v>
      </c>
      <c r="AP73" s="207">
        <v>1.21</v>
      </c>
      <c r="AQ73" s="206">
        <v>734.50900000000001</v>
      </c>
      <c r="AR73" s="206">
        <v>22.54</v>
      </c>
      <c r="AS73" s="207">
        <v>3.3010000000000002</v>
      </c>
      <c r="AT73" s="207">
        <v>1.034</v>
      </c>
      <c r="AU73" s="207">
        <v>2.2669999999999999</v>
      </c>
      <c r="AV73" s="207">
        <v>1.5620000000000001</v>
      </c>
      <c r="AW73" s="206">
        <v>323.94</v>
      </c>
      <c r="AX73" s="208">
        <v>1.0999999999999999E-2</v>
      </c>
      <c r="AY73" s="208">
        <v>8.5000000000000006E-2</v>
      </c>
      <c r="AZ73" s="207">
        <v>28.305</v>
      </c>
      <c r="BA73" s="207">
        <v>52.48</v>
      </c>
      <c r="BB73" s="208">
        <v>0</v>
      </c>
      <c r="BC73" s="208">
        <v>0</v>
      </c>
      <c r="BD73" s="209">
        <v>453.17500000000001</v>
      </c>
      <c r="BE73" s="216">
        <v>67.194000000000003</v>
      </c>
    </row>
    <row r="74" spans="1:60">
      <c r="A74" s="218" t="s">
        <v>984</v>
      </c>
      <c r="B74" s="230" t="s">
        <v>1452</v>
      </c>
      <c r="C74" s="221">
        <v>272.11538461538464</v>
      </c>
      <c r="D74" s="228"/>
      <c r="E74" s="228" t="s">
        <v>53</v>
      </c>
      <c r="F74" s="231">
        <v>464.19499999999999</v>
      </c>
      <c r="G74" s="232">
        <v>54.119448159358065</v>
      </c>
      <c r="H74" s="232">
        <v>36.156472161610473</v>
      </c>
      <c r="I74" s="181">
        <v>9.7240796790314619</v>
      </c>
      <c r="J74" s="206">
        <v>61.51</v>
      </c>
      <c r="K74" s="206">
        <v>18.263999999999999</v>
      </c>
      <c r="L74" s="206">
        <v>15.981</v>
      </c>
      <c r="M74" s="206">
        <v>2.2829999999999999</v>
      </c>
      <c r="N74" s="206">
        <v>11.052</v>
      </c>
      <c r="O74" s="206">
        <v>7.9169999999999998</v>
      </c>
      <c r="P74" s="206">
        <v>3.1349999999999998</v>
      </c>
      <c r="Q74" s="206">
        <v>4.2690000000000001</v>
      </c>
      <c r="R74" s="207">
        <v>1.4219999999999999</v>
      </c>
      <c r="S74" s="207">
        <v>2.847</v>
      </c>
      <c r="T74" s="206">
        <v>109.923</v>
      </c>
      <c r="U74" s="206">
        <v>0.91500000000000004</v>
      </c>
      <c r="V74" s="206">
        <v>26.484999999999999</v>
      </c>
      <c r="W74" s="206">
        <v>23.925000000000001</v>
      </c>
      <c r="X74" s="206">
        <v>30.72</v>
      </c>
      <c r="Y74" s="208">
        <v>0.495</v>
      </c>
      <c r="Z74" s="206">
        <v>18.206</v>
      </c>
      <c r="AA74" s="206">
        <v>106.315</v>
      </c>
      <c r="AB74" s="206">
        <v>9.6</v>
      </c>
      <c r="AC74" s="208">
        <v>0.23</v>
      </c>
      <c r="AD74" s="207">
        <v>0.26200000000000001</v>
      </c>
      <c r="AE74" s="207">
        <v>1.728</v>
      </c>
      <c r="AF74" s="207">
        <v>0.104</v>
      </c>
      <c r="AG74" s="206">
        <v>50.078000000000003</v>
      </c>
      <c r="AH74" s="207">
        <v>0.35499999999999998</v>
      </c>
      <c r="AI74" s="207">
        <v>0.67100000000000004</v>
      </c>
      <c r="AJ74" s="208">
        <v>0</v>
      </c>
      <c r="AK74" s="206">
        <v>40.143999999999998</v>
      </c>
      <c r="AL74" s="206">
        <v>25.844000000000001</v>
      </c>
      <c r="AM74" s="206">
        <v>14.3</v>
      </c>
      <c r="AN74" s="206">
        <v>112.13500000000001</v>
      </c>
      <c r="AO74" s="206">
        <v>137.55699999999999</v>
      </c>
      <c r="AP74" s="207">
        <v>1.573</v>
      </c>
      <c r="AQ74" s="206">
        <v>183.31100000000001</v>
      </c>
      <c r="AR74" s="206">
        <v>21.66</v>
      </c>
      <c r="AS74" s="207">
        <v>1.7609999999999999</v>
      </c>
      <c r="AT74" s="207">
        <v>1.294</v>
      </c>
      <c r="AU74" s="207">
        <v>0.46800000000000003</v>
      </c>
      <c r="AV74" s="207">
        <v>0.53500000000000003</v>
      </c>
      <c r="AW74" s="206">
        <v>144.626</v>
      </c>
      <c r="AX74" s="208">
        <v>0</v>
      </c>
      <c r="AY74" s="208">
        <v>0.58099999999999996</v>
      </c>
      <c r="AZ74" s="207">
        <v>7.04</v>
      </c>
      <c r="BA74" s="207">
        <v>15.996</v>
      </c>
      <c r="BB74" s="208">
        <v>0</v>
      </c>
      <c r="BC74" s="208">
        <v>0</v>
      </c>
      <c r="BD74" s="209">
        <v>109.065</v>
      </c>
      <c r="BE74" s="216">
        <v>87.352000000000004</v>
      </c>
    </row>
    <row r="75" spans="1:60">
      <c r="A75" s="218" t="s">
        <v>985</v>
      </c>
      <c r="B75" s="230" t="s">
        <v>978</v>
      </c>
      <c r="C75" s="221">
        <v>320.83333333333337</v>
      </c>
      <c r="D75" s="228"/>
      <c r="E75" s="228" t="s">
        <v>98</v>
      </c>
      <c r="F75" s="231">
        <v>318.60000000000002</v>
      </c>
      <c r="G75" s="232">
        <v>57.500275138486366</v>
      </c>
      <c r="H75" s="232">
        <v>33.908067060420407</v>
      </c>
      <c r="I75" s="181">
        <v>8.5916578010932163</v>
      </c>
      <c r="J75" s="206">
        <v>47.021999999999998</v>
      </c>
      <c r="K75" s="206">
        <v>12.324</v>
      </c>
      <c r="L75" s="206">
        <v>2.0640000000000001</v>
      </c>
      <c r="M75" s="206">
        <v>10.26</v>
      </c>
      <c r="N75" s="206">
        <v>7.0259999999999998</v>
      </c>
      <c r="O75" s="206">
        <v>5.2560000000000002</v>
      </c>
      <c r="P75" s="206">
        <v>1.77</v>
      </c>
      <c r="Q75" s="206">
        <v>4.0919999999999996</v>
      </c>
      <c r="R75" s="207">
        <v>0.84</v>
      </c>
      <c r="S75" s="207">
        <v>1.992</v>
      </c>
      <c r="T75" s="206">
        <v>117.58799999999999</v>
      </c>
      <c r="U75" s="206">
        <v>1.9139999999999999</v>
      </c>
      <c r="V75" s="206">
        <v>116.63</v>
      </c>
      <c r="W75" s="206">
        <v>107.7</v>
      </c>
      <c r="X75" s="206">
        <v>107.16</v>
      </c>
      <c r="Y75" s="208">
        <v>0</v>
      </c>
      <c r="Z75" s="206">
        <v>1.3919999999999999</v>
      </c>
      <c r="AA75" s="206">
        <v>43.595999999999997</v>
      </c>
      <c r="AB75" s="206">
        <v>4.8</v>
      </c>
      <c r="AC75" s="208">
        <v>0.28699999999999998</v>
      </c>
      <c r="AD75" s="207">
        <v>0.26300000000000001</v>
      </c>
      <c r="AE75" s="207">
        <v>2.3340000000000001</v>
      </c>
      <c r="AF75" s="207">
        <v>0.24199999999999999</v>
      </c>
      <c r="AG75" s="206">
        <v>41.94</v>
      </c>
      <c r="AH75" s="207">
        <v>0.21</v>
      </c>
      <c r="AI75" s="207">
        <v>0.26</v>
      </c>
      <c r="AJ75" s="208">
        <v>0</v>
      </c>
      <c r="AK75" s="206">
        <v>93</v>
      </c>
      <c r="AL75" s="206">
        <v>63.6</v>
      </c>
      <c r="AM75" s="206">
        <v>29.4</v>
      </c>
      <c r="AN75" s="206">
        <v>102</v>
      </c>
      <c r="AO75" s="206">
        <v>381.54</v>
      </c>
      <c r="AP75" s="207">
        <v>0</v>
      </c>
      <c r="AQ75" s="206">
        <v>308.64</v>
      </c>
      <c r="AR75" s="206">
        <v>10.44</v>
      </c>
      <c r="AS75" s="207">
        <v>2.0880000000000001</v>
      </c>
      <c r="AT75" s="207">
        <v>1.968</v>
      </c>
      <c r="AU75" s="207">
        <v>0.12</v>
      </c>
      <c r="AV75" s="207">
        <v>0.73599999999999999</v>
      </c>
      <c r="AW75" s="206">
        <v>56.16</v>
      </c>
      <c r="AX75" s="208">
        <v>1E-3</v>
      </c>
      <c r="AY75" s="208">
        <v>0.185</v>
      </c>
      <c r="AZ75" s="207">
        <v>0</v>
      </c>
      <c r="BA75" s="207">
        <v>0.64800000000000002</v>
      </c>
      <c r="BB75" s="208">
        <v>0</v>
      </c>
      <c r="BC75" s="208">
        <v>0</v>
      </c>
      <c r="BD75" s="209">
        <v>33.479999999999997</v>
      </c>
      <c r="BE75" s="216">
        <v>0</v>
      </c>
    </row>
    <row r="76" spans="1:60">
      <c r="A76" s="218" t="s">
        <v>986</v>
      </c>
      <c r="B76" s="230" t="s">
        <v>979</v>
      </c>
      <c r="C76" s="221">
        <v>184.39306358381498</v>
      </c>
      <c r="D76" s="228"/>
      <c r="E76" s="228" t="s">
        <v>108</v>
      </c>
      <c r="F76" s="231">
        <v>403.13</v>
      </c>
      <c r="G76" s="232">
        <v>29.996033884860623</v>
      </c>
      <c r="H76" s="232">
        <v>44.920830240102518</v>
      </c>
      <c r="I76" s="181">
        <v>25.083135875036866</v>
      </c>
      <c r="J76" s="206">
        <v>29.495999999999999</v>
      </c>
      <c r="K76" s="206">
        <v>19.632000000000001</v>
      </c>
      <c r="L76" s="206">
        <v>7.9539999999999997</v>
      </c>
      <c r="M76" s="206">
        <v>11.678000000000001</v>
      </c>
      <c r="N76" s="206">
        <v>24.664999999999999</v>
      </c>
      <c r="O76" s="206">
        <v>3.8860000000000001</v>
      </c>
      <c r="P76" s="206">
        <v>20.779</v>
      </c>
      <c r="Q76" s="206">
        <v>3.3180000000000001</v>
      </c>
      <c r="R76" s="207">
        <v>0.77</v>
      </c>
      <c r="S76" s="207">
        <v>1.21</v>
      </c>
      <c r="T76" s="206">
        <v>140.47800000000001</v>
      </c>
      <c r="U76" s="206">
        <v>2.57</v>
      </c>
      <c r="V76" s="206">
        <v>103.583</v>
      </c>
      <c r="W76" s="206">
        <v>103.27</v>
      </c>
      <c r="X76" s="206">
        <v>3.75</v>
      </c>
      <c r="Y76" s="208">
        <v>1.98</v>
      </c>
      <c r="Z76" s="206">
        <v>4.7830000000000004</v>
      </c>
      <c r="AA76" s="206">
        <v>12.286</v>
      </c>
      <c r="AB76" s="206">
        <v>1.68</v>
      </c>
      <c r="AC76" s="208">
        <v>0.35599999999999998</v>
      </c>
      <c r="AD76" s="207">
        <v>0.91700000000000004</v>
      </c>
      <c r="AE76" s="207">
        <v>1.998</v>
      </c>
      <c r="AF76" s="207">
        <v>0.18099999999999999</v>
      </c>
      <c r="AG76" s="206">
        <v>156.947</v>
      </c>
      <c r="AH76" s="207">
        <v>1.613</v>
      </c>
      <c r="AI76" s="207">
        <v>1.827</v>
      </c>
      <c r="AJ76" s="208">
        <v>0.1</v>
      </c>
      <c r="AK76" s="206">
        <v>129.47999999999999</v>
      </c>
      <c r="AL76" s="206">
        <v>27.06</v>
      </c>
      <c r="AM76" s="206">
        <v>102.42</v>
      </c>
      <c r="AN76" s="206">
        <v>330.63</v>
      </c>
      <c r="AO76" s="206">
        <v>442.63</v>
      </c>
      <c r="AP76" s="207">
        <v>0</v>
      </c>
      <c r="AQ76" s="206">
        <v>269.5</v>
      </c>
      <c r="AR76" s="206">
        <v>33.36</v>
      </c>
      <c r="AS76" s="207">
        <v>3.1309999999999998</v>
      </c>
      <c r="AT76" s="207">
        <v>0.51200000000000001</v>
      </c>
      <c r="AU76" s="207">
        <v>2.6190000000000002</v>
      </c>
      <c r="AV76" s="207">
        <v>1.4910000000000001</v>
      </c>
      <c r="AW76" s="206">
        <v>308</v>
      </c>
      <c r="AX76" s="208">
        <v>2E-3</v>
      </c>
      <c r="AY76" s="208">
        <v>0.20699999999999999</v>
      </c>
      <c r="AZ76" s="207">
        <v>34.649000000000001</v>
      </c>
      <c r="BA76" s="207">
        <v>50.892000000000003</v>
      </c>
      <c r="BB76" s="208">
        <v>0</v>
      </c>
      <c r="BC76" s="208">
        <v>0</v>
      </c>
      <c r="BD76" s="209">
        <v>494.976</v>
      </c>
      <c r="BE76" s="216">
        <v>0</v>
      </c>
    </row>
    <row r="77" spans="1:60">
      <c r="A77" s="218" t="s">
        <v>987</v>
      </c>
      <c r="B77" s="230" t="s">
        <v>1453</v>
      </c>
      <c r="C77" s="221">
        <v>141</v>
      </c>
      <c r="D77" s="228"/>
      <c r="E77" s="228" t="s">
        <v>108</v>
      </c>
      <c r="F77" s="231">
        <v>833.3</v>
      </c>
      <c r="G77" s="232">
        <v>29.572700457337696</v>
      </c>
      <c r="H77" s="232">
        <v>48.500183279497541</v>
      </c>
      <c r="I77" s="181">
        <v>21.927116263164756</v>
      </c>
      <c r="J77" s="206">
        <v>60.103999999999999</v>
      </c>
      <c r="K77" s="206">
        <v>43.81</v>
      </c>
      <c r="L77" s="206">
        <v>11.683999999999999</v>
      </c>
      <c r="M77" s="206">
        <v>32.125999999999998</v>
      </c>
      <c r="N77" s="206">
        <v>44.564999999999998</v>
      </c>
      <c r="O77" s="206">
        <v>8.6760000000000002</v>
      </c>
      <c r="P77" s="206">
        <v>35.889000000000003</v>
      </c>
      <c r="Q77" s="206">
        <v>4.4370000000000003</v>
      </c>
      <c r="R77" s="207">
        <v>0</v>
      </c>
      <c r="S77" s="207">
        <v>0</v>
      </c>
      <c r="T77" s="206">
        <v>259.35000000000002</v>
      </c>
      <c r="U77" s="206">
        <v>4.8710000000000004</v>
      </c>
      <c r="V77" s="206">
        <v>32.436999999999998</v>
      </c>
      <c r="W77" s="206">
        <v>30.57</v>
      </c>
      <c r="X77" s="206">
        <v>22.4</v>
      </c>
      <c r="Y77" s="208">
        <v>0</v>
      </c>
      <c r="Z77" s="206">
        <v>1.794</v>
      </c>
      <c r="AA77" s="206">
        <v>18.116</v>
      </c>
      <c r="AB77" s="206">
        <v>10.57</v>
      </c>
      <c r="AC77" s="208">
        <v>0.33600000000000002</v>
      </c>
      <c r="AD77" s="207">
        <v>0.54400000000000004</v>
      </c>
      <c r="AE77" s="207">
        <v>11.693</v>
      </c>
      <c r="AF77" s="207">
        <v>1.006</v>
      </c>
      <c r="AG77" s="206">
        <v>141.40100000000001</v>
      </c>
      <c r="AH77" s="207">
        <v>5.8000000000000003E-2</v>
      </c>
      <c r="AI77" s="207">
        <v>1.214</v>
      </c>
      <c r="AJ77" s="208">
        <v>0.57799999999999996</v>
      </c>
      <c r="AK77" s="206">
        <v>92.55</v>
      </c>
      <c r="AL77" s="206">
        <v>32.47</v>
      </c>
      <c r="AM77" s="206">
        <v>60.08</v>
      </c>
      <c r="AN77" s="206">
        <v>483.75</v>
      </c>
      <c r="AO77" s="206">
        <v>700.38900000000001</v>
      </c>
      <c r="AP77" s="207">
        <v>1712.0350000000001</v>
      </c>
      <c r="AQ77" s="206">
        <v>1272.345</v>
      </c>
      <c r="AR77" s="206">
        <v>96.86</v>
      </c>
      <c r="AS77" s="207">
        <v>4.5229999999999997</v>
      </c>
      <c r="AT77" s="207">
        <v>1.2989999999999999</v>
      </c>
      <c r="AU77" s="207">
        <v>3.2240000000000002</v>
      </c>
      <c r="AV77" s="207">
        <v>12.606</v>
      </c>
      <c r="AW77" s="206">
        <v>370.07</v>
      </c>
      <c r="AX77" s="208">
        <v>4.5999999999999999E-2</v>
      </c>
      <c r="AY77" s="208">
        <v>0.36199999999999999</v>
      </c>
      <c r="AZ77" s="207">
        <v>0</v>
      </c>
      <c r="BA77" s="207">
        <v>22.132999999999999</v>
      </c>
      <c r="BB77" s="208">
        <v>0</v>
      </c>
      <c r="BC77" s="208">
        <v>0</v>
      </c>
      <c r="BD77" s="209">
        <v>132.53</v>
      </c>
      <c r="BE77" s="216">
        <v>235.179</v>
      </c>
    </row>
    <row r="78" spans="1:60">
      <c r="A78" s="218" t="s">
        <v>988</v>
      </c>
      <c r="B78" s="230" t="s">
        <v>980</v>
      </c>
      <c r="C78" s="221">
        <v>153.33333333333334</v>
      </c>
      <c r="D78" s="228"/>
      <c r="E78" s="228" t="s">
        <v>108</v>
      </c>
      <c r="F78" s="231">
        <v>810.94</v>
      </c>
      <c r="G78" s="232">
        <v>21.819191424068087</v>
      </c>
      <c r="H78" s="232">
        <v>61.278576509307747</v>
      </c>
      <c r="I78" s="181">
        <v>16.902232066624158</v>
      </c>
      <c r="J78" s="206">
        <v>44.402000000000001</v>
      </c>
      <c r="K78" s="206">
        <v>55.423000000000002</v>
      </c>
      <c r="L78" s="206">
        <v>5.2510000000000003</v>
      </c>
      <c r="M78" s="206">
        <v>50.171999999999997</v>
      </c>
      <c r="N78" s="206">
        <v>34.396000000000001</v>
      </c>
      <c r="O78" s="206">
        <v>6.1459999999999999</v>
      </c>
      <c r="P78" s="206">
        <v>28.25</v>
      </c>
      <c r="Q78" s="206">
        <v>4.5469999999999997</v>
      </c>
      <c r="R78" s="207">
        <v>0.215</v>
      </c>
      <c r="S78" s="207">
        <v>3.2679999999999998</v>
      </c>
      <c r="T78" s="206">
        <v>183.32499999999999</v>
      </c>
      <c r="U78" s="206">
        <v>7.51</v>
      </c>
      <c r="V78" s="206">
        <v>27.359000000000002</v>
      </c>
      <c r="W78" s="206">
        <v>21.28</v>
      </c>
      <c r="X78" s="206">
        <v>72.95</v>
      </c>
      <c r="Y78" s="208">
        <v>2.4860000000000002</v>
      </c>
      <c r="Z78" s="206">
        <v>1.337</v>
      </c>
      <c r="AA78" s="206">
        <v>0</v>
      </c>
      <c r="AB78" s="206">
        <v>26.47</v>
      </c>
      <c r="AC78" s="208">
        <v>0.35699999999999998</v>
      </c>
      <c r="AD78" s="207">
        <v>0.25800000000000001</v>
      </c>
      <c r="AE78" s="207">
        <v>7.94</v>
      </c>
      <c r="AF78" s="207">
        <v>0.35399999999999998</v>
      </c>
      <c r="AG78" s="206">
        <v>99.316000000000003</v>
      </c>
      <c r="AH78" s="207">
        <v>1.3109999999999999</v>
      </c>
      <c r="AI78" s="207">
        <v>1.2470000000000001</v>
      </c>
      <c r="AJ78" s="208">
        <v>0</v>
      </c>
      <c r="AK78" s="206">
        <v>69.069999999999993</v>
      </c>
      <c r="AL78" s="206">
        <v>35.17</v>
      </c>
      <c r="AM78" s="206">
        <v>33.9</v>
      </c>
      <c r="AN78" s="206">
        <v>521.59</v>
      </c>
      <c r="AO78" s="206">
        <v>2087.5</v>
      </c>
      <c r="AP78" s="207">
        <v>0</v>
      </c>
      <c r="AQ78" s="206">
        <v>791.42</v>
      </c>
      <c r="AR78" s="206">
        <v>6.5359999999999996</v>
      </c>
      <c r="AS78" s="207">
        <v>10.207000000000001</v>
      </c>
      <c r="AT78" s="207">
        <v>7.4950000000000001</v>
      </c>
      <c r="AU78" s="207">
        <v>2.7120000000000002</v>
      </c>
      <c r="AV78" s="207">
        <v>3.7280000000000002</v>
      </c>
      <c r="AW78" s="206">
        <v>162.791</v>
      </c>
      <c r="AX78" s="208">
        <v>0</v>
      </c>
      <c r="AY78" s="208">
        <v>0.158</v>
      </c>
      <c r="AZ78" s="207">
        <v>0</v>
      </c>
      <c r="BA78" s="207">
        <v>0.129</v>
      </c>
      <c r="BB78" s="208">
        <v>0</v>
      </c>
      <c r="BC78" s="208">
        <v>0</v>
      </c>
      <c r="BD78" s="209">
        <v>154.864</v>
      </c>
      <c r="BE78" s="216">
        <v>0</v>
      </c>
    </row>
    <row r="79" spans="1:60">
      <c r="A79" s="218" t="s">
        <v>989</v>
      </c>
      <c r="B79" s="230" t="s">
        <v>1454</v>
      </c>
      <c r="C79" s="221">
        <v>250.26833631484794</v>
      </c>
      <c r="D79" s="228" t="s">
        <v>1468</v>
      </c>
      <c r="E79" s="228" t="s">
        <v>108</v>
      </c>
      <c r="F79" s="231">
        <v>999.27200000000005</v>
      </c>
      <c r="G79" s="232">
        <v>26.404898837353635</v>
      </c>
      <c r="H79" s="232">
        <v>54.117671397244408</v>
      </c>
      <c r="I79" s="181">
        <v>19.477429765401961</v>
      </c>
      <c r="J79" s="206">
        <v>63.817999999999998</v>
      </c>
      <c r="K79" s="206">
        <v>58.131999999999998</v>
      </c>
      <c r="L79" s="206">
        <v>9.1329999999999991</v>
      </c>
      <c r="M79" s="206">
        <v>48.999000000000002</v>
      </c>
      <c r="N79" s="206">
        <v>47.075000000000003</v>
      </c>
      <c r="O79" s="206">
        <v>9.67</v>
      </c>
      <c r="P79" s="206">
        <v>37.405999999999999</v>
      </c>
      <c r="Q79" s="206">
        <v>1.4630000000000001</v>
      </c>
      <c r="R79" s="207">
        <v>0.214</v>
      </c>
      <c r="S79" s="207">
        <v>0.77400000000000002</v>
      </c>
      <c r="T79" s="206">
        <v>187.988</v>
      </c>
      <c r="U79" s="206">
        <v>3.9969999999999999</v>
      </c>
      <c r="V79" s="206">
        <v>239.96299999999999</v>
      </c>
      <c r="W79" s="206">
        <v>235.38499999999999</v>
      </c>
      <c r="X79" s="206">
        <v>54.930999999999997</v>
      </c>
      <c r="Y79" s="208">
        <v>0.51200000000000001</v>
      </c>
      <c r="Z79" s="206">
        <v>12.499000000000001</v>
      </c>
      <c r="AA79" s="206">
        <v>35.750999999999998</v>
      </c>
      <c r="AB79" s="206">
        <v>0.187</v>
      </c>
      <c r="AC79" s="208">
        <v>0.64100000000000001</v>
      </c>
      <c r="AD79" s="207">
        <v>0.51</v>
      </c>
      <c r="AE79" s="207">
        <v>6.7009999999999996</v>
      </c>
      <c r="AF79" s="207">
        <v>0.61399999999999999</v>
      </c>
      <c r="AG79" s="206">
        <v>28.978999999999999</v>
      </c>
      <c r="AH79" s="207">
        <v>0.80900000000000005</v>
      </c>
      <c r="AI79" s="207">
        <v>2.4889999999999999</v>
      </c>
      <c r="AJ79" s="208">
        <v>0</v>
      </c>
      <c r="AK79" s="206">
        <v>61.430999999999997</v>
      </c>
      <c r="AL79" s="206">
        <v>29.933</v>
      </c>
      <c r="AM79" s="206">
        <v>31.497</v>
      </c>
      <c r="AN79" s="206">
        <v>421.601</v>
      </c>
      <c r="AO79" s="206">
        <v>809.76</v>
      </c>
      <c r="AP79" s="207">
        <v>6.5339999999999998</v>
      </c>
      <c r="AQ79" s="206">
        <v>266.31700000000001</v>
      </c>
      <c r="AR79" s="206">
        <v>19.303000000000001</v>
      </c>
      <c r="AS79" s="207">
        <v>3.36</v>
      </c>
      <c r="AT79" s="207">
        <v>1.4470000000000001</v>
      </c>
      <c r="AU79" s="207">
        <v>1.913</v>
      </c>
      <c r="AV79" s="207">
        <v>2.4550000000000001</v>
      </c>
      <c r="AW79" s="206">
        <v>189.47900000000001</v>
      </c>
      <c r="AX79" s="208">
        <v>1E-3</v>
      </c>
      <c r="AY79" s="208">
        <v>0.442</v>
      </c>
      <c r="AZ79" s="207">
        <v>102.015</v>
      </c>
      <c r="BA79" s="207">
        <v>38.804000000000002</v>
      </c>
      <c r="BB79" s="208">
        <v>0</v>
      </c>
      <c r="BC79" s="208">
        <v>0</v>
      </c>
      <c r="BD79" s="209">
        <v>216.22800000000001</v>
      </c>
      <c r="BE79" s="216">
        <v>362.84800000000001</v>
      </c>
    </row>
    <row r="80" spans="1:60">
      <c r="A80" s="218" t="s">
        <v>990</v>
      </c>
      <c r="B80" s="229" t="s">
        <v>1455</v>
      </c>
      <c r="C80" s="221">
        <v>194.15248897290485</v>
      </c>
      <c r="D80" s="228"/>
      <c r="E80" s="228" t="s">
        <v>108</v>
      </c>
      <c r="F80" s="231">
        <v>1347.4259999999999</v>
      </c>
      <c r="G80" s="232">
        <v>69.062486434121809</v>
      </c>
      <c r="H80" s="232">
        <v>17.673911702412042</v>
      </c>
      <c r="I80" s="181">
        <v>13.263601863466148</v>
      </c>
      <c r="J80" s="206">
        <v>226.70400000000001</v>
      </c>
      <c r="K80" s="206">
        <v>25.785</v>
      </c>
      <c r="L80" s="206">
        <v>6.5369999999999999</v>
      </c>
      <c r="M80" s="206">
        <v>19.248000000000001</v>
      </c>
      <c r="N80" s="206">
        <v>43.539000000000001</v>
      </c>
      <c r="O80" s="206">
        <v>30.422999999999998</v>
      </c>
      <c r="P80" s="206">
        <v>13.116</v>
      </c>
      <c r="Q80" s="206">
        <v>13.010999999999999</v>
      </c>
      <c r="R80" s="207">
        <v>0.75900000000000001</v>
      </c>
      <c r="S80" s="207">
        <v>11.34</v>
      </c>
      <c r="T80" s="206">
        <v>156.989</v>
      </c>
      <c r="U80" s="206">
        <v>5.0570000000000004</v>
      </c>
      <c r="V80" s="206">
        <v>29.995000000000001</v>
      </c>
      <c r="W80" s="206">
        <v>18.114000000000001</v>
      </c>
      <c r="X80" s="206">
        <v>142.57400000000001</v>
      </c>
      <c r="Y80" s="208">
        <v>0.96499999999999997</v>
      </c>
      <c r="Z80" s="206">
        <v>1.4970000000000001</v>
      </c>
      <c r="AA80" s="206">
        <v>6.4050000000000002</v>
      </c>
      <c r="AB80" s="206">
        <v>13.02</v>
      </c>
      <c r="AC80" s="208">
        <v>2.0110000000000001</v>
      </c>
      <c r="AD80" s="207">
        <v>0.45</v>
      </c>
      <c r="AE80" s="207">
        <v>9.9309999999999992</v>
      </c>
      <c r="AF80" s="207">
        <v>0.49299999999999999</v>
      </c>
      <c r="AG80" s="206">
        <v>110.739</v>
      </c>
      <c r="AH80" s="207">
        <v>0.48199999999999998</v>
      </c>
      <c r="AI80" s="207">
        <v>2.0840000000000001</v>
      </c>
      <c r="AJ80" s="208">
        <v>0</v>
      </c>
      <c r="AK80" s="206">
        <v>152.58600000000001</v>
      </c>
      <c r="AL80" s="206">
        <v>67.573999999999998</v>
      </c>
      <c r="AM80" s="206">
        <v>85.012</v>
      </c>
      <c r="AN80" s="206">
        <v>675.62199999999996</v>
      </c>
      <c r="AO80" s="206">
        <v>725.16399999999999</v>
      </c>
      <c r="AP80" s="207">
        <v>1.573</v>
      </c>
      <c r="AQ80" s="206">
        <v>1025.771</v>
      </c>
      <c r="AR80" s="206">
        <v>159.71199999999999</v>
      </c>
      <c r="AS80" s="207">
        <v>7.9790000000000001</v>
      </c>
      <c r="AT80" s="207">
        <v>6.8650000000000002</v>
      </c>
      <c r="AU80" s="207">
        <v>1.1140000000000001</v>
      </c>
      <c r="AV80" s="207">
        <v>3.7869999999999999</v>
      </c>
      <c r="AW80" s="206">
        <v>343.08100000000002</v>
      </c>
      <c r="AX80" s="208">
        <v>1E-3</v>
      </c>
      <c r="AY80" s="208">
        <v>1.0609999999999999</v>
      </c>
      <c r="AZ80" s="207">
        <v>4.8600000000000003</v>
      </c>
      <c r="BA80" s="207">
        <v>47.116</v>
      </c>
      <c r="BB80" s="208">
        <v>0</v>
      </c>
      <c r="BC80" s="208">
        <v>0</v>
      </c>
      <c r="BD80" s="209">
        <v>53.323999999999998</v>
      </c>
      <c r="BE80" s="216">
        <v>87.352000000000004</v>
      </c>
    </row>
    <row r="81" spans="1:57">
      <c r="A81" s="218" t="s">
        <v>1478</v>
      </c>
      <c r="B81" s="229" t="s">
        <v>1456</v>
      </c>
      <c r="C81" s="221">
        <v>211.19402985074626</v>
      </c>
      <c r="D81" s="228"/>
      <c r="E81" s="228" t="s">
        <v>50</v>
      </c>
      <c r="F81" s="231">
        <v>136.55199999999999</v>
      </c>
      <c r="G81" s="232">
        <v>8.0172068098137146</v>
      </c>
      <c r="H81" s="232">
        <v>84.563450111188075</v>
      </c>
      <c r="I81" s="181">
        <v>7.4193430789982138</v>
      </c>
      <c r="J81" s="206">
        <v>2.7490000000000001</v>
      </c>
      <c r="K81" s="206">
        <v>12.887</v>
      </c>
      <c r="L81" s="206">
        <v>3.5510000000000002</v>
      </c>
      <c r="M81" s="206">
        <v>9.3360000000000003</v>
      </c>
      <c r="N81" s="206">
        <v>2.544</v>
      </c>
      <c r="O81" s="206">
        <v>0.98199999999999998</v>
      </c>
      <c r="P81" s="206">
        <v>1.5620000000000001</v>
      </c>
      <c r="Q81" s="206">
        <v>0.97399999999999998</v>
      </c>
      <c r="R81" s="207">
        <v>0.113</v>
      </c>
      <c r="S81" s="207">
        <v>0.85499999999999998</v>
      </c>
      <c r="T81" s="206">
        <v>21.036999999999999</v>
      </c>
      <c r="U81" s="206">
        <v>0.55300000000000005</v>
      </c>
      <c r="V81" s="206">
        <v>51.107999999999997</v>
      </c>
      <c r="W81" s="206">
        <v>49.887</v>
      </c>
      <c r="X81" s="206">
        <v>14.654</v>
      </c>
      <c r="Y81" s="208">
        <v>0.40400000000000003</v>
      </c>
      <c r="Z81" s="206">
        <v>0.73899999999999999</v>
      </c>
      <c r="AA81" s="206">
        <v>0.82599999999999996</v>
      </c>
      <c r="AB81" s="206">
        <v>0.14000000000000001</v>
      </c>
      <c r="AC81" s="208">
        <v>4.2000000000000003E-2</v>
      </c>
      <c r="AD81" s="207">
        <v>9.1999999999999998E-2</v>
      </c>
      <c r="AE81" s="207">
        <v>0.154</v>
      </c>
      <c r="AF81" s="207">
        <v>4.2999999999999997E-2</v>
      </c>
      <c r="AG81" s="206">
        <v>15.16</v>
      </c>
      <c r="AH81" s="207">
        <v>0.19900000000000001</v>
      </c>
      <c r="AI81" s="207">
        <v>0.28699999999999998</v>
      </c>
      <c r="AJ81" s="208">
        <v>1.2999999999999999E-2</v>
      </c>
      <c r="AK81" s="206">
        <v>27.027999999999999</v>
      </c>
      <c r="AL81" s="206">
        <v>5.3540000000000001</v>
      </c>
      <c r="AM81" s="206">
        <v>21.673999999999999</v>
      </c>
      <c r="AN81" s="206">
        <v>50.588999999999999</v>
      </c>
      <c r="AO81" s="206">
        <v>117.339</v>
      </c>
      <c r="AP81" s="207">
        <v>14.763999999999999</v>
      </c>
      <c r="AQ81" s="206">
        <v>58.412999999999997</v>
      </c>
      <c r="AR81" s="206">
        <v>1.6020000000000001</v>
      </c>
      <c r="AS81" s="207">
        <v>0.32100000000000001</v>
      </c>
      <c r="AT81" s="207">
        <v>0.13800000000000001</v>
      </c>
      <c r="AU81" s="207">
        <v>0.183</v>
      </c>
      <c r="AV81" s="207">
        <v>0.27900000000000003</v>
      </c>
      <c r="AW81" s="206">
        <v>19.533999999999999</v>
      </c>
      <c r="AX81" s="208">
        <v>0</v>
      </c>
      <c r="AY81" s="208">
        <v>1.2999999999999999E-2</v>
      </c>
      <c r="AZ81" s="207">
        <v>5.9619999999999997</v>
      </c>
      <c r="BA81" s="207">
        <v>3.742</v>
      </c>
      <c r="BB81" s="208">
        <v>0</v>
      </c>
      <c r="BC81" s="208">
        <v>0</v>
      </c>
      <c r="BD81" s="209">
        <v>57.765999999999998</v>
      </c>
      <c r="BE81" s="216">
        <v>26.878</v>
      </c>
    </row>
    <row r="82" spans="1:57">
      <c r="A82" s="218" t="s">
        <v>1479</v>
      </c>
      <c r="B82" s="229" t="s">
        <v>1467</v>
      </c>
      <c r="C82" s="221">
        <v>233.33333333333331</v>
      </c>
      <c r="D82" s="228"/>
      <c r="E82" s="228" t="s">
        <v>1466</v>
      </c>
      <c r="F82" s="231">
        <v>560.53099999999995</v>
      </c>
      <c r="G82" s="232">
        <v>43.810999913071946</v>
      </c>
      <c r="H82" s="232">
        <v>23.185931711539425</v>
      </c>
      <c r="I82" s="181">
        <v>33.003068375388636</v>
      </c>
      <c r="J82" s="206">
        <v>59.219000000000001</v>
      </c>
      <c r="K82" s="206">
        <v>13.929</v>
      </c>
      <c r="L82" s="206">
        <v>0.14399999999999999</v>
      </c>
      <c r="M82" s="206">
        <v>13.785</v>
      </c>
      <c r="N82" s="206">
        <v>44.61</v>
      </c>
      <c r="O82" s="206">
        <v>8.0640000000000001</v>
      </c>
      <c r="P82" s="206">
        <v>36.545999999999999</v>
      </c>
      <c r="Q82" s="206">
        <v>0</v>
      </c>
      <c r="R82" s="207">
        <v>0</v>
      </c>
      <c r="S82" s="207">
        <v>0</v>
      </c>
      <c r="T82" s="206">
        <v>122.548</v>
      </c>
      <c r="U82" s="206">
        <v>6.4249999999999998</v>
      </c>
      <c r="V82" s="206">
        <v>125.16</v>
      </c>
      <c r="W82" s="206">
        <v>122.884</v>
      </c>
      <c r="X82" s="206">
        <v>27.314</v>
      </c>
      <c r="Y82" s="208">
        <v>3.5000000000000003E-2</v>
      </c>
      <c r="Z82" s="206">
        <v>0.80300000000000005</v>
      </c>
      <c r="AA82" s="206">
        <v>3.11</v>
      </c>
      <c r="AB82" s="206">
        <v>13.16</v>
      </c>
      <c r="AC82" s="208">
        <v>0.36799999999999999</v>
      </c>
      <c r="AD82" s="207">
        <v>0.42399999999999999</v>
      </c>
      <c r="AE82" s="207">
        <v>7.4969999999999999</v>
      </c>
      <c r="AF82" s="207">
        <v>0.66200000000000003</v>
      </c>
      <c r="AG82" s="206">
        <v>63.540999999999997</v>
      </c>
      <c r="AH82" s="207">
        <v>0.76</v>
      </c>
      <c r="AI82" s="207">
        <v>0.27</v>
      </c>
      <c r="AJ82" s="208">
        <v>1.008</v>
      </c>
      <c r="AK82" s="206">
        <v>161.64500000000001</v>
      </c>
      <c r="AL82" s="206">
        <v>5.9160000000000004</v>
      </c>
      <c r="AM82" s="206">
        <v>155.72900000000001</v>
      </c>
      <c r="AN82" s="206">
        <v>492.75900000000001</v>
      </c>
      <c r="AO82" s="206">
        <v>1438.1790000000001</v>
      </c>
      <c r="AP82" s="207">
        <v>216.25</v>
      </c>
      <c r="AQ82" s="206">
        <v>648.81799999999998</v>
      </c>
      <c r="AR82" s="206">
        <v>45.790999999999997</v>
      </c>
      <c r="AS82" s="207">
        <v>2.5230000000000001</v>
      </c>
      <c r="AT82" s="207">
        <v>0.94</v>
      </c>
      <c r="AU82" s="207">
        <v>1.583</v>
      </c>
      <c r="AV82" s="207">
        <v>3.7490000000000001</v>
      </c>
      <c r="AW82" s="206">
        <v>322.91899999999998</v>
      </c>
      <c r="AX82" s="208">
        <v>2.3E-2</v>
      </c>
      <c r="AY82" s="208">
        <v>1.7000000000000001E-2</v>
      </c>
      <c r="AZ82" s="207">
        <v>1.5309999999999999</v>
      </c>
      <c r="BA82" s="207">
        <v>71.599000000000004</v>
      </c>
      <c r="BB82" s="208">
        <v>0</v>
      </c>
      <c r="BC82" s="208">
        <v>0</v>
      </c>
      <c r="BD82" s="209">
        <v>104.5</v>
      </c>
      <c r="BE82" s="216">
        <v>735.774</v>
      </c>
    </row>
    <row r="83" spans="1:57">
      <c r="A83" s="218" t="s">
        <v>1480</v>
      </c>
      <c r="B83" s="229" t="s">
        <v>1457</v>
      </c>
      <c r="C83" s="221">
        <v>193.06431273644387</v>
      </c>
      <c r="D83" s="228"/>
      <c r="E83" s="228" t="s">
        <v>108</v>
      </c>
      <c r="F83" s="231">
        <v>441.38799999999998</v>
      </c>
      <c r="G83" s="232">
        <v>36.783910451836007</v>
      </c>
      <c r="H83" s="232">
        <v>38.756882195022072</v>
      </c>
      <c r="I83" s="181">
        <v>24.459207353141917</v>
      </c>
      <c r="J83" s="206">
        <v>40.42</v>
      </c>
      <c r="K83" s="206">
        <v>18.928000000000001</v>
      </c>
      <c r="L83" s="206">
        <v>0.95399999999999996</v>
      </c>
      <c r="M83" s="206">
        <v>17.975000000000001</v>
      </c>
      <c r="N83" s="206">
        <v>26.876999999999999</v>
      </c>
      <c r="O83" s="206">
        <v>6.9569999999999999</v>
      </c>
      <c r="P83" s="206">
        <v>19.920000000000002</v>
      </c>
      <c r="Q83" s="206">
        <v>3.3759999999999999</v>
      </c>
      <c r="R83" s="207">
        <v>0.40799999999999997</v>
      </c>
      <c r="S83" s="207">
        <v>2.3559999999999999</v>
      </c>
      <c r="T83" s="206">
        <v>315.29399999999998</v>
      </c>
      <c r="U83" s="206">
        <v>4.95</v>
      </c>
      <c r="V83" s="206">
        <v>196.89400000000001</v>
      </c>
      <c r="W83" s="206">
        <v>20.518999999999998</v>
      </c>
      <c r="X83" s="206">
        <v>2116.5</v>
      </c>
      <c r="Y83" s="208">
        <v>0.374</v>
      </c>
      <c r="Z83" s="206">
        <v>1.2210000000000001</v>
      </c>
      <c r="AA83" s="206">
        <v>12.45</v>
      </c>
      <c r="AB83" s="206">
        <v>26.954999999999998</v>
      </c>
      <c r="AC83" s="208">
        <v>1.008</v>
      </c>
      <c r="AD83" s="207">
        <v>0.61699999999999999</v>
      </c>
      <c r="AE83" s="207">
        <v>7.3890000000000002</v>
      </c>
      <c r="AF83" s="207">
        <v>0.80800000000000005</v>
      </c>
      <c r="AG83" s="206">
        <v>112.55200000000001</v>
      </c>
      <c r="AH83" s="207">
        <v>0.50800000000000001</v>
      </c>
      <c r="AI83" s="207">
        <v>1.5109999999999999</v>
      </c>
      <c r="AJ83" s="208">
        <v>0</v>
      </c>
      <c r="AK83" s="206">
        <v>75.576999999999998</v>
      </c>
      <c r="AL83" s="206">
        <v>56.811</v>
      </c>
      <c r="AM83" s="206">
        <v>18.765999999999998</v>
      </c>
      <c r="AN83" s="206">
        <v>405.56099999999998</v>
      </c>
      <c r="AO83" s="206">
        <v>493.22399999999999</v>
      </c>
      <c r="AP83" s="207">
        <v>3.0249999999999999</v>
      </c>
      <c r="AQ83" s="206">
        <v>1545.268</v>
      </c>
      <c r="AR83" s="206">
        <v>46.064999999999998</v>
      </c>
      <c r="AS83" s="207">
        <v>5.2279999999999998</v>
      </c>
      <c r="AT83" s="207">
        <v>3.1890000000000001</v>
      </c>
      <c r="AU83" s="207">
        <v>2.0390000000000001</v>
      </c>
      <c r="AV83" s="207">
        <v>6.4610000000000003</v>
      </c>
      <c r="AW83" s="206">
        <v>229.303</v>
      </c>
      <c r="AX83" s="208">
        <v>1.7999999999999999E-2</v>
      </c>
      <c r="AY83" s="208">
        <v>0.22600000000000001</v>
      </c>
      <c r="AZ83" s="207">
        <v>7.3</v>
      </c>
      <c r="BA83" s="207">
        <v>29.614000000000001</v>
      </c>
      <c r="BB83" s="208">
        <v>0</v>
      </c>
      <c r="BC83" s="208">
        <v>0.94499999999999995</v>
      </c>
      <c r="BD83" s="209">
        <v>130.14599999999999</v>
      </c>
      <c r="BE83" s="216">
        <v>167.98500000000001</v>
      </c>
    </row>
    <row r="84" spans="1:57">
      <c r="A84" s="218" t="s">
        <v>1474</v>
      </c>
      <c r="B84" s="229" t="s">
        <v>1473</v>
      </c>
      <c r="C84" s="221">
        <v>178.63192182410427</v>
      </c>
      <c r="D84" s="228" t="s">
        <v>52</v>
      </c>
      <c r="E84" s="228" t="s">
        <v>51</v>
      </c>
      <c r="F84" s="231">
        <v>446.14</v>
      </c>
      <c r="G84" s="232">
        <v>78.523441685083441</v>
      </c>
      <c r="H84" s="232">
        <v>6.1256577284396085</v>
      </c>
      <c r="I84" s="181">
        <v>15.350900586476939</v>
      </c>
      <c r="J84" s="206">
        <v>84.652000000000001</v>
      </c>
      <c r="K84" s="206">
        <v>2.9350000000000001</v>
      </c>
      <c r="L84" s="206">
        <v>0.7</v>
      </c>
      <c r="M84" s="206">
        <v>2.234</v>
      </c>
      <c r="N84" s="206">
        <v>16.548999999999999</v>
      </c>
      <c r="O84" s="206">
        <v>13.499000000000001</v>
      </c>
      <c r="P84" s="206">
        <v>3.05</v>
      </c>
      <c r="Q84" s="206">
        <v>4.1159999999999997</v>
      </c>
      <c r="R84" s="207">
        <v>0.53900000000000003</v>
      </c>
      <c r="S84" s="207">
        <v>0.85399999999999998</v>
      </c>
      <c r="T84" s="206">
        <v>195.095</v>
      </c>
      <c r="U84" s="206">
        <v>6.6189999999999998</v>
      </c>
      <c r="V84" s="206">
        <v>68.090999999999994</v>
      </c>
      <c r="W84" s="206">
        <v>21.577999999999999</v>
      </c>
      <c r="X84" s="206">
        <v>558.16300000000001</v>
      </c>
      <c r="Y84" s="208">
        <v>0.33600000000000002</v>
      </c>
      <c r="Z84" s="206">
        <v>3.0339999999999998</v>
      </c>
      <c r="AA84" s="206">
        <v>9.2949999999999999</v>
      </c>
      <c r="AB84" s="206">
        <v>9.84</v>
      </c>
      <c r="AC84" s="208">
        <v>0.29599999999999999</v>
      </c>
      <c r="AD84" s="207">
        <v>0.30099999999999999</v>
      </c>
      <c r="AE84" s="207">
        <v>4.7539999999999996</v>
      </c>
      <c r="AF84" s="207">
        <v>0.436</v>
      </c>
      <c r="AG84" s="206">
        <v>105.682</v>
      </c>
      <c r="AH84" s="207">
        <v>0.25700000000000001</v>
      </c>
      <c r="AI84" s="207">
        <v>0.36099999999999999</v>
      </c>
      <c r="AJ84" s="208">
        <v>0</v>
      </c>
      <c r="AK84" s="206">
        <v>70.465000000000003</v>
      </c>
      <c r="AL84" s="206">
        <v>34.151000000000003</v>
      </c>
      <c r="AM84" s="206">
        <v>36.314</v>
      </c>
      <c r="AN84" s="206">
        <v>170.197</v>
      </c>
      <c r="AO84" s="206">
        <v>1726.5350000000001</v>
      </c>
      <c r="AP84" s="207">
        <v>16.88</v>
      </c>
      <c r="AQ84" s="206">
        <v>781.92700000000002</v>
      </c>
      <c r="AR84" s="206">
        <v>78.772000000000006</v>
      </c>
      <c r="AS84" s="207">
        <v>2.944</v>
      </c>
      <c r="AT84" s="207">
        <v>2.6059999999999999</v>
      </c>
      <c r="AU84" s="207">
        <v>0.33900000000000002</v>
      </c>
      <c r="AV84" s="207">
        <v>2.4780000000000002</v>
      </c>
      <c r="AW84" s="206">
        <v>486.06299999999999</v>
      </c>
      <c r="AX84" s="208">
        <v>1.7999999999999999E-2</v>
      </c>
      <c r="AY84" s="208">
        <v>6.5000000000000002E-2</v>
      </c>
      <c r="AZ84" s="207">
        <v>4.774</v>
      </c>
      <c r="BA84" s="207">
        <v>64.244</v>
      </c>
      <c r="BB84" s="208">
        <v>0</v>
      </c>
      <c r="BC84" s="208">
        <v>0.64300000000000002</v>
      </c>
      <c r="BD84" s="209">
        <v>76.83</v>
      </c>
      <c r="BE84" s="216">
        <v>937.35599999999999</v>
      </c>
    </row>
    <row r="85" spans="1:57" ht="22.5">
      <c r="A85" s="184" t="s">
        <v>1481</v>
      </c>
      <c r="B85" s="200" t="s">
        <v>1458</v>
      </c>
      <c r="C85" s="186">
        <v>235.0706713780919</v>
      </c>
      <c r="D85" s="199"/>
      <c r="E85" s="199" t="s">
        <v>50</v>
      </c>
      <c r="F85" s="206">
        <v>728.202</v>
      </c>
      <c r="G85" s="181">
        <v>10.841568425672302</v>
      </c>
      <c r="H85" s="181">
        <v>65.620214921808468</v>
      </c>
      <c r="I85" s="181">
        <v>23.538216652519232</v>
      </c>
      <c r="J85" s="206">
        <v>19.701000000000001</v>
      </c>
      <c r="K85" s="206">
        <v>52.997</v>
      </c>
      <c r="L85" s="206">
        <v>12.355</v>
      </c>
      <c r="M85" s="206">
        <v>40.642000000000003</v>
      </c>
      <c r="N85" s="206">
        <v>42.773000000000003</v>
      </c>
      <c r="O85" s="206">
        <v>9.3019999999999996</v>
      </c>
      <c r="P85" s="206">
        <v>33.47</v>
      </c>
      <c r="Q85" s="206">
        <v>5.399</v>
      </c>
      <c r="R85" s="207">
        <v>0.68799999999999994</v>
      </c>
      <c r="S85" s="207">
        <v>3.4209999999999998</v>
      </c>
      <c r="T85" s="206">
        <v>356.69299999999998</v>
      </c>
      <c r="U85" s="206">
        <v>5.1369999999999996</v>
      </c>
      <c r="V85" s="206">
        <v>281.22000000000003</v>
      </c>
      <c r="W85" s="206">
        <v>88.242999999999995</v>
      </c>
      <c r="X85" s="206">
        <v>2315.7260000000001</v>
      </c>
      <c r="Y85" s="208">
        <v>0.105</v>
      </c>
      <c r="Z85" s="206">
        <v>7.0529999999999999</v>
      </c>
      <c r="AA85" s="206">
        <v>131.51300000000001</v>
      </c>
      <c r="AB85" s="206">
        <v>145.69300000000001</v>
      </c>
      <c r="AC85" s="208">
        <v>0.435</v>
      </c>
      <c r="AD85" s="207">
        <v>0.88</v>
      </c>
      <c r="AE85" s="207">
        <v>9.8569999999999993</v>
      </c>
      <c r="AF85" s="207">
        <v>1.1299999999999999</v>
      </c>
      <c r="AG85" s="206">
        <v>211.58199999999999</v>
      </c>
      <c r="AH85" s="207">
        <v>0.14499999999999999</v>
      </c>
      <c r="AI85" s="207">
        <v>0.94899999999999995</v>
      </c>
      <c r="AJ85" s="208">
        <v>0.65300000000000002</v>
      </c>
      <c r="AK85" s="206">
        <v>205.93799999999999</v>
      </c>
      <c r="AL85" s="206">
        <v>86.626000000000005</v>
      </c>
      <c r="AM85" s="206">
        <v>119.313</v>
      </c>
      <c r="AN85" s="206">
        <v>725.30399999999997</v>
      </c>
      <c r="AO85" s="206">
        <v>540.22900000000004</v>
      </c>
      <c r="AP85" s="207">
        <v>133.74100000000001</v>
      </c>
      <c r="AQ85" s="206">
        <v>1253.252</v>
      </c>
      <c r="AR85" s="206">
        <v>87.317999999999998</v>
      </c>
      <c r="AS85" s="207">
        <v>5.6369999999999996</v>
      </c>
      <c r="AT85" s="207">
        <v>2.82</v>
      </c>
      <c r="AU85" s="207">
        <v>2.8170000000000002</v>
      </c>
      <c r="AV85" s="207">
        <v>12.641999999999999</v>
      </c>
      <c r="AW85" s="206">
        <v>306.80500000000001</v>
      </c>
      <c r="AX85" s="208">
        <v>4.4999999999999998E-2</v>
      </c>
      <c r="AY85" s="208">
        <v>0.72399999999999998</v>
      </c>
      <c r="AZ85" s="207">
        <v>1.23</v>
      </c>
      <c r="BA85" s="207">
        <v>20.625</v>
      </c>
      <c r="BB85" s="208">
        <v>0</v>
      </c>
      <c r="BC85" s="208">
        <v>1.9630000000000001</v>
      </c>
      <c r="BD85" s="209">
        <v>146.56399999999999</v>
      </c>
      <c r="BE85" s="216">
        <v>127.669</v>
      </c>
    </row>
    <row r="86" spans="1:57">
      <c r="A86" s="184" t="s">
        <v>1475</v>
      </c>
      <c r="B86" s="200" t="s">
        <v>1459</v>
      </c>
      <c r="C86" s="186">
        <v>286.56488549618325</v>
      </c>
      <c r="D86" s="199"/>
      <c r="E86" s="199" t="s">
        <v>53</v>
      </c>
      <c r="F86" s="206">
        <v>1031.1300000000001</v>
      </c>
      <c r="G86" s="181">
        <v>35.929394535013678</v>
      </c>
      <c r="H86" s="181">
        <v>34.23170308706208</v>
      </c>
      <c r="I86" s="181">
        <v>29.838902377924224</v>
      </c>
      <c r="J86" s="206">
        <v>93.225999999999999</v>
      </c>
      <c r="K86" s="206">
        <v>39.475999999999999</v>
      </c>
      <c r="L86" s="206">
        <v>27.233000000000001</v>
      </c>
      <c r="M86" s="206">
        <v>12.243</v>
      </c>
      <c r="N86" s="206">
        <v>77.423000000000002</v>
      </c>
      <c r="O86" s="206">
        <v>63.948</v>
      </c>
      <c r="P86" s="206">
        <v>13.475</v>
      </c>
      <c r="Q86" s="206">
        <v>74.840999999999994</v>
      </c>
      <c r="R86" s="207">
        <v>10.32</v>
      </c>
      <c r="S86" s="207">
        <v>61.295000000000002</v>
      </c>
      <c r="T86" s="206">
        <v>297.709</v>
      </c>
      <c r="U86" s="206">
        <v>11.826000000000001</v>
      </c>
      <c r="V86" s="206">
        <v>12.497</v>
      </c>
      <c r="W86" s="206">
        <v>4.62</v>
      </c>
      <c r="X86" s="206">
        <v>94.53</v>
      </c>
      <c r="Y86" s="208">
        <v>0</v>
      </c>
      <c r="Z86" s="206">
        <v>2.1960000000000002</v>
      </c>
      <c r="AA86" s="206">
        <v>46.201999999999998</v>
      </c>
      <c r="AB86" s="206">
        <v>24.66</v>
      </c>
      <c r="AC86" s="208">
        <v>1.278</v>
      </c>
      <c r="AD86" s="207">
        <v>0.66900000000000004</v>
      </c>
      <c r="AE86" s="207">
        <v>8.9649999999999999</v>
      </c>
      <c r="AF86" s="207">
        <v>1.4419999999999999</v>
      </c>
      <c r="AG86" s="206">
        <v>806.08299999999997</v>
      </c>
      <c r="AH86" s="207">
        <v>0</v>
      </c>
      <c r="AI86" s="207">
        <v>1.2430000000000001</v>
      </c>
      <c r="AJ86" s="208">
        <v>0</v>
      </c>
      <c r="AK86" s="206">
        <v>426.64400000000001</v>
      </c>
      <c r="AL86" s="206">
        <v>415.09399999999999</v>
      </c>
      <c r="AM86" s="206">
        <v>11.55</v>
      </c>
      <c r="AN86" s="206">
        <v>1174.27</v>
      </c>
      <c r="AO86" s="206">
        <v>124.16</v>
      </c>
      <c r="AP86" s="207">
        <v>0.96799999999999997</v>
      </c>
      <c r="AQ86" s="206">
        <v>3779.2959999999998</v>
      </c>
      <c r="AR86" s="206">
        <v>269.92500000000001</v>
      </c>
      <c r="AS86" s="207">
        <v>18.279</v>
      </c>
      <c r="AT86" s="207">
        <v>17.047000000000001</v>
      </c>
      <c r="AU86" s="207">
        <v>1.232</v>
      </c>
      <c r="AV86" s="207">
        <v>11.321999999999999</v>
      </c>
      <c r="AW86" s="206">
        <v>1340.3389999999999</v>
      </c>
      <c r="AX86" s="208">
        <v>0.02</v>
      </c>
      <c r="AY86" s="208">
        <v>4.915</v>
      </c>
      <c r="AZ86" s="207">
        <v>6.6269999999999998</v>
      </c>
      <c r="BA86" s="207">
        <v>8.8450000000000006</v>
      </c>
      <c r="BB86" s="208">
        <v>56.259</v>
      </c>
      <c r="BC86" s="208">
        <v>1.3420000000000001</v>
      </c>
      <c r="BD86" s="209">
        <v>49.28</v>
      </c>
      <c r="BE86" s="216">
        <v>53.755000000000003</v>
      </c>
    </row>
    <row r="87" spans="1:57">
      <c r="A87" s="184" t="s">
        <v>1482</v>
      </c>
      <c r="B87" s="200" t="s">
        <v>1460</v>
      </c>
      <c r="C87" s="186">
        <v>193.53348729792145</v>
      </c>
      <c r="D87" s="199"/>
      <c r="E87" s="199" t="s">
        <v>108</v>
      </c>
      <c r="F87" s="206">
        <v>264.49</v>
      </c>
      <c r="G87" s="181">
        <v>24.572385067538637</v>
      </c>
      <c r="H87" s="181">
        <v>48.424617540581572</v>
      </c>
      <c r="I87" s="181">
        <v>27.002997391879791</v>
      </c>
      <c r="J87" s="206">
        <v>15.781000000000001</v>
      </c>
      <c r="K87" s="206">
        <v>13.821999999999999</v>
      </c>
      <c r="L87" s="206">
        <v>0.502</v>
      </c>
      <c r="M87" s="206">
        <v>13.32</v>
      </c>
      <c r="N87" s="206">
        <v>17.341999999999999</v>
      </c>
      <c r="O87" s="206">
        <v>2.5</v>
      </c>
      <c r="P87" s="206">
        <v>14.842000000000001</v>
      </c>
      <c r="Q87" s="206">
        <v>4.8410000000000002</v>
      </c>
      <c r="R87" s="207">
        <v>0.33400000000000002</v>
      </c>
      <c r="S87" s="207">
        <v>3.9420000000000002</v>
      </c>
      <c r="T87" s="206">
        <v>149.154</v>
      </c>
      <c r="U87" s="206">
        <v>2.2509999999999999</v>
      </c>
      <c r="V87" s="206">
        <v>35.518999999999998</v>
      </c>
      <c r="W87" s="206">
        <v>15.199</v>
      </c>
      <c r="X87" s="206">
        <v>243.84700000000001</v>
      </c>
      <c r="Y87" s="208">
        <v>0.26200000000000001</v>
      </c>
      <c r="Z87" s="206">
        <v>1.1519999999999999</v>
      </c>
      <c r="AA87" s="206">
        <v>1.224</v>
      </c>
      <c r="AB87" s="206">
        <v>5.5919999999999996</v>
      </c>
      <c r="AC87" s="208">
        <v>0.20399999999999999</v>
      </c>
      <c r="AD87" s="207">
        <v>0.30599999999999999</v>
      </c>
      <c r="AE87" s="207">
        <v>4.3739999999999997</v>
      </c>
      <c r="AF87" s="207">
        <v>0.43099999999999999</v>
      </c>
      <c r="AG87" s="206">
        <v>81.69</v>
      </c>
      <c r="AH87" s="207">
        <v>0.16200000000000001</v>
      </c>
      <c r="AI87" s="207">
        <v>0.23200000000000001</v>
      </c>
      <c r="AJ87" s="208">
        <v>8.9999999999999993E-3</v>
      </c>
      <c r="AK87" s="206">
        <v>49.784999999999997</v>
      </c>
      <c r="AL87" s="206">
        <v>23.503</v>
      </c>
      <c r="AM87" s="206">
        <v>26.282</v>
      </c>
      <c r="AN87" s="206">
        <v>223.291</v>
      </c>
      <c r="AO87" s="206">
        <v>323.77800000000002</v>
      </c>
      <c r="AP87" s="207">
        <v>10.555999999999999</v>
      </c>
      <c r="AQ87" s="206">
        <v>561.97500000000002</v>
      </c>
      <c r="AR87" s="206">
        <v>32.847000000000001</v>
      </c>
      <c r="AS87" s="207">
        <v>2.1920000000000002</v>
      </c>
      <c r="AT87" s="207">
        <v>0.79200000000000004</v>
      </c>
      <c r="AU87" s="207">
        <v>1.4</v>
      </c>
      <c r="AV87" s="207">
        <v>4.9829999999999997</v>
      </c>
      <c r="AW87" s="206">
        <v>148.76300000000001</v>
      </c>
      <c r="AX87" s="208">
        <v>1.7000000000000001E-2</v>
      </c>
      <c r="AY87" s="208">
        <v>0.104</v>
      </c>
      <c r="AZ87" s="207">
        <v>4.7069999999999999</v>
      </c>
      <c r="BA87" s="207">
        <v>11.406000000000001</v>
      </c>
      <c r="BB87" s="208">
        <v>0</v>
      </c>
      <c r="BC87" s="208">
        <v>0.435</v>
      </c>
      <c r="BD87" s="209">
        <v>87.34</v>
      </c>
      <c r="BE87" s="216">
        <v>53.755000000000003</v>
      </c>
    </row>
    <row r="88" spans="1:57">
      <c r="A88" s="184" t="s">
        <v>1476</v>
      </c>
      <c r="B88" s="200" t="s">
        <v>1461</v>
      </c>
      <c r="C88" s="186">
        <v>184.54106280193236</v>
      </c>
      <c r="D88" s="199"/>
      <c r="E88" s="199" t="s">
        <v>108</v>
      </c>
      <c r="F88" s="206">
        <v>925.35500000000002</v>
      </c>
      <c r="G88" s="181">
        <v>12.674298240272785</v>
      </c>
      <c r="H88" s="181">
        <v>52.100277485408085</v>
      </c>
      <c r="I88" s="181">
        <v>35.22542427431911</v>
      </c>
      <c r="J88" s="206">
        <v>29.140999999999998</v>
      </c>
      <c r="K88" s="206">
        <v>53.24</v>
      </c>
      <c r="L88" s="206">
        <v>0.59399999999999997</v>
      </c>
      <c r="M88" s="206">
        <v>52.646000000000001</v>
      </c>
      <c r="N88" s="206">
        <v>80.991</v>
      </c>
      <c r="O88" s="206">
        <v>3.5329999999999999</v>
      </c>
      <c r="P88" s="206">
        <v>77.457999999999998</v>
      </c>
      <c r="Q88" s="206">
        <v>4.7309999999999999</v>
      </c>
      <c r="R88" s="207">
        <v>0.28999999999999998</v>
      </c>
      <c r="S88" s="207">
        <v>0.94799999999999995</v>
      </c>
      <c r="T88" s="206">
        <v>474.09500000000003</v>
      </c>
      <c r="U88" s="206">
        <v>9.1820000000000004</v>
      </c>
      <c r="V88" s="206">
        <v>358.16899999999998</v>
      </c>
      <c r="W88" s="206">
        <v>79.644999999999996</v>
      </c>
      <c r="X88" s="206">
        <v>3342.2890000000002</v>
      </c>
      <c r="Y88" s="208">
        <v>0.65700000000000003</v>
      </c>
      <c r="Z88" s="206">
        <v>4.92</v>
      </c>
      <c r="AA88" s="206">
        <v>232.40899999999999</v>
      </c>
      <c r="AB88" s="206">
        <v>75.819999999999993</v>
      </c>
      <c r="AC88" s="208">
        <v>1.742</v>
      </c>
      <c r="AD88" s="207">
        <v>1.643</v>
      </c>
      <c r="AE88" s="207">
        <v>11.044</v>
      </c>
      <c r="AF88" s="207">
        <v>1.839</v>
      </c>
      <c r="AG88" s="206">
        <v>269.47000000000003</v>
      </c>
      <c r="AH88" s="207">
        <v>2.6890000000000001</v>
      </c>
      <c r="AI88" s="207">
        <v>3.347</v>
      </c>
      <c r="AJ88" s="208">
        <v>3.4969999999999999</v>
      </c>
      <c r="AK88" s="206">
        <v>289.25799999999998</v>
      </c>
      <c r="AL88" s="206">
        <v>80.174000000000007</v>
      </c>
      <c r="AM88" s="206">
        <v>209.08500000000001</v>
      </c>
      <c r="AN88" s="206">
        <v>1147.027</v>
      </c>
      <c r="AO88" s="206">
        <v>1271.877</v>
      </c>
      <c r="AP88" s="207">
        <v>278.88</v>
      </c>
      <c r="AQ88" s="206">
        <v>1817.8630000000001</v>
      </c>
      <c r="AR88" s="206">
        <v>103.57299999999999</v>
      </c>
      <c r="AS88" s="207">
        <v>8.8520000000000003</v>
      </c>
      <c r="AT88" s="207">
        <v>3.6219999999999999</v>
      </c>
      <c r="AU88" s="207">
        <v>5.23</v>
      </c>
      <c r="AV88" s="207">
        <v>10.029</v>
      </c>
      <c r="AW88" s="206">
        <v>405.15899999999999</v>
      </c>
      <c r="AX88" s="208">
        <v>3.2000000000000001E-2</v>
      </c>
      <c r="AY88" s="208">
        <v>0.51400000000000001</v>
      </c>
      <c r="AZ88" s="207">
        <v>13.587999999999999</v>
      </c>
      <c r="BA88" s="207">
        <v>137.21799999999999</v>
      </c>
      <c r="BB88" s="208">
        <v>0</v>
      </c>
      <c r="BC88" s="208">
        <v>0</v>
      </c>
      <c r="BD88" s="209">
        <v>286.005</v>
      </c>
      <c r="BE88" s="216">
        <v>67.194000000000003</v>
      </c>
    </row>
    <row r="89" spans="1:57">
      <c r="A89" s="184" t="s">
        <v>1477</v>
      </c>
      <c r="B89" s="200" t="s">
        <v>1462</v>
      </c>
      <c r="C89" s="186">
        <v>190.22869022869023</v>
      </c>
      <c r="D89" s="199"/>
      <c r="E89" s="199" t="s">
        <v>108</v>
      </c>
      <c r="F89" s="206">
        <v>620.55799999999999</v>
      </c>
      <c r="G89" s="181">
        <v>33.709768677047251</v>
      </c>
      <c r="H89" s="181">
        <v>33.446492871930218</v>
      </c>
      <c r="I89" s="181">
        <v>32.843738451022524</v>
      </c>
      <c r="J89" s="206">
        <v>51.536000000000001</v>
      </c>
      <c r="K89" s="206">
        <v>22.725999999999999</v>
      </c>
      <c r="L89" s="206">
        <v>8.76</v>
      </c>
      <c r="M89" s="206">
        <v>13.965999999999999</v>
      </c>
      <c r="N89" s="206">
        <v>50.212000000000003</v>
      </c>
      <c r="O89" s="206">
        <v>6.6260000000000003</v>
      </c>
      <c r="P89" s="206">
        <v>43.585999999999999</v>
      </c>
      <c r="Q89" s="206">
        <v>4.0380000000000003</v>
      </c>
      <c r="R89" s="207">
        <v>1.6930000000000001</v>
      </c>
      <c r="S89" s="207">
        <v>1.788</v>
      </c>
      <c r="T89" s="206">
        <v>192.19300000000001</v>
      </c>
      <c r="U89" s="206">
        <v>5.0140000000000002</v>
      </c>
      <c r="V89" s="206">
        <v>220.87100000000001</v>
      </c>
      <c r="W89" s="206">
        <v>181.16</v>
      </c>
      <c r="X89" s="206">
        <v>476.536</v>
      </c>
      <c r="Y89" s="208">
        <v>0</v>
      </c>
      <c r="Z89" s="206">
        <v>2.7759999999999998</v>
      </c>
      <c r="AA89" s="206">
        <v>7.202</v>
      </c>
      <c r="AB89" s="206">
        <v>63.238</v>
      </c>
      <c r="AC89" s="208">
        <v>0.25</v>
      </c>
      <c r="AD89" s="207">
        <v>0.27100000000000002</v>
      </c>
      <c r="AE89" s="207">
        <v>16.364999999999998</v>
      </c>
      <c r="AF89" s="207">
        <v>0.86</v>
      </c>
      <c r="AG89" s="206">
        <v>96.748000000000005</v>
      </c>
      <c r="AH89" s="207">
        <v>0.82599999999999996</v>
      </c>
      <c r="AI89" s="207">
        <v>1.448</v>
      </c>
      <c r="AJ89" s="208">
        <v>0.78400000000000003</v>
      </c>
      <c r="AK89" s="206">
        <v>282.25099999999998</v>
      </c>
      <c r="AL89" s="206">
        <v>23.390999999999998</v>
      </c>
      <c r="AM89" s="206">
        <v>258.86</v>
      </c>
      <c r="AN89" s="206">
        <v>684.77499999999998</v>
      </c>
      <c r="AO89" s="206">
        <v>720.21900000000005</v>
      </c>
      <c r="AP89" s="207">
        <v>616.96799999999996</v>
      </c>
      <c r="AQ89" s="206">
        <v>576.32399999999996</v>
      </c>
      <c r="AR89" s="206">
        <v>52.360999999999997</v>
      </c>
      <c r="AS89" s="207">
        <v>2.6840000000000002</v>
      </c>
      <c r="AT89" s="207">
        <v>0.99299999999999999</v>
      </c>
      <c r="AU89" s="207">
        <v>1.6910000000000001</v>
      </c>
      <c r="AV89" s="207">
        <v>4.077</v>
      </c>
      <c r="AW89" s="206">
        <v>123.70399999999999</v>
      </c>
      <c r="AX89" s="208">
        <v>0.02</v>
      </c>
      <c r="AY89" s="208">
        <v>0.11899999999999999</v>
      </c>
      <c r="AZ89" s="207">
        <v>0</v>
      </c>
      <c r="BA89" s="207">
        <v>36.018999999999998</v>
      </c>
      <c r="BB89" s="208">
        <v>0</v>
      </c>
      <c r="BC89" s="208">
        <v>1.593</v>
      </c>
      <c r="BD89" s="209">
        <v>147.41999999999999</v>
      </c>
      <c r="BE89" s="216">
        <v>53.755000000000003</v>
      </c>
    </row>
    <row r="90" spans="1:57">
      <c r="A90" s="201" t="s">
        <v>1463</v>
      </c>
    </row>
    <row r="91" spans="1:57">
      <c r="A91" s="201" t="s">
        <v>1464</v>
      </c>
    </row>
    <row r="92" spans="1:57">
      <c r="F92" s="219"/>
    </row>
    <row r="93" spans="1:57">
      <c r="F93" s="219"/>
    </row>
    <row r="94" spans="1:57">
      <c r="F94" s="219"/>
    </row>
  </sheetData>
  <sortState ref="A2:BI91">
    <sortCondition ref="A2:A91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4"/>
  <sheetViews>
    <sheetView zoomScale="70" zoomScaleNormal="70" workbookViewId="0">
      <pane xSplit="1" ySplit="4" topLeftCell="B5" activePane="bottomRight" state="frozen"/>
      <selection pane="topRight" activeCell="C1" sqref="C1"/>
      <selection pane="bottomLeft" activeCell="A3" sqref="A3"/>
      <selection pane="bottomRight" activeCell="D679" sqref="D679"/>
    </sheetView>
  </sheetViews>
  <sheetFormatPr defaultRowHeight="16.5"/>
  <cols>
    <col min="1" max="1" width="4.875" style="29" bestFit="1" customWidth="1"/>
    <col min="2" max="2" width="10.875" style="29" bestFit="1" customWidth="1"/>
    <col min="3" max="3" width="16.125" style="29" customWidth="1"/>
    <col min="4" max="4" width="25.125" style="25" customWidth="1"/>
    <col min="5" max="5" width="25.25" style="163" customWidth="1"/>
    <col min="6" max="6" width="12.625" style="29" bestFit="1" customWidth="1"/>
    <col min="7" max="7" width="12.625" style="64" bestFit="1" customWidth="1"/>
    <col min="8" max="8" width="11.25" style="29" bestFit="1" customWidth="1"/>
    <col min="9" max="9" width="12.75" style="35" bestFit="1" customWidth="1"/>
    <col min="10" max="10" width="12.75" style="18" customWidth="1"/>
    <col min="11" max="11" width="9.875" style="30" bestFit="1" customWidth="1"/>
    <col min="12" max="12" width="17.625" style="30" customWidth="1"/>
    <col min="13" max="13" width="10.875" style="29" bestFit="1" customWidth="1"/>
    <col min="14" max="14" width="11.25" style="29" customWidth="1"/>
    <col min="15" max="15" width="12.125" style="29" bestFit="1" customWidth="1"/>
    <col min="16" max="16" width="9" style="20"/>
    <col min="17" max="17" width="9" style="21"/>
    <col min="18" max="18" width="11" style="29" bestFit="1" customWidth="1"/>
    <col min="19" max="19" width="4" style="29" bestFit="1" customWidth="1"/>
    <col min="20" max="16384" width="9" style="29"/>
  </cols>
  <sheetData>
    <row r="1" spans="1:19">
      <c r="A1" s="235" t="s">
        <v>1258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9">
      <c r="A2" s="235" t="s">
        <v>39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9">
      <c r="P3" s="43"/>
      <c r="Q3" s="43"/>
    </row>
    <row r="4" spans="1:19" s="2" customFormat="1" ht="49.5">
      <c r="A4" s="3" t="s">
        <v>0</v>
      </c>
      <c r="B4" s="3" t="s">
        <v>2</v>
      </c>
      <c r="C4" s="3" t="s">
        <v>3</v>
      </c>
      <c r="D4" s="2" t="s">
        <v>37</v>
      </c>
      <c r="E4" s="160" t="s">
        <v>4</v>
      </c>
      <c r="F4" s="4" t="s">
        <v>5</v>
      </c>
      <c r="G4" s="65" t="s">
        <v>6</v>
      </c>
      <c r="H4" s="2" t="s">
        <v>1</v>
      </c>
      <c r="I4" s="11" t="s">
        <v>7</v>
      </c>
      <c r="J4" s="12" t="s">
        <v>33</v>
      </c>
      <c r="K4" s="15" t="s">
        <v>8</v>
      </c>
      <c r="L4" s="16" t="s">
        <v>9</v>
      </c>
      <c r="M4" s="8" t="s">
        <v>10</v>
      </c>
      <c r="N4" s="8" t="s">
        <v>11</v>
      </c>
      <c r="O4" s="2" t="s">
        <v>12</v>
      </c>
      <c r="P4" s="19" t="s">
        <v>35</v>
      </c>
      <c r="Q4" s="17" t="s">
        <v>34</v>
      </c>
    </row>
    <row r="5" spans="1:19">
      <c r="A5" s="7">
        <v>1</v>
      </c>
      <c r="B5" s="7" t="s">
        <v>1364</v>
      </c>
      <c r="C5" s="7" t="s">
        <v>1209</v>
      </c>
      <c r="D5" s="25" t="s">
        <v>38</v>
      </c>
      <c r="E5" s="163" t="s">
        <v>1113</v>
      </c>
      <c r="G5" s="64">
        <v>30</v>
      </c>
      <c r="H5" s="10" t="s">
        <v>25</v>
      </c>
      <c r="I5" s="10">
        <v>4</v>
      </c>
      <c r="J5" s="13">
        <f>G5/30</f>
        <v>1</v>
      </c>
      <c r="K5" s="30">
        <f>J5/11.12*100</f>
        <v>8.9928057553956844</v>
      </c>
      <c r="L5" s="30">
        <f>K5*I5</f>
        <v>35.971223021582738</v>
      </c>
    </row>
    <row r="6" spans="1:19">
      <c r="A6" s="7"/>
      <c r="B6" s="7"/>
      <c r="E6" s="163" t="s">
        <v>1114</v>
      </c>
      <c r="G6" s="64">
        <v>60</v>
      </c>
      <c r="H6" s="10" t="s">
        <v>24</v>
      </c>
      <c r="I6" s="10">
        <v>2</v>
      </c>
      <c r="J6" s="13">
        <f>G6/30</f>
        <v>2</v>
      </c>
      <c r="K6" s="30">
        <f t="shared" ref="K6:K43" si="0">J6/11.12*100</f>
        <v>17.985611510791369</v>
      </c>
      <c r="L6" s="30">
        <f t="shared" ref="L6:L43" si="1">K6*I6</f>
        <v>35.971223021582738</v>
      </c>
    </row>
    <row r="7" spans="1:19">
      <c r="A7" s="7"/>
      <c r="B7" s="7"/>
      <c r="C7" s="163" t="s">
        <v>1046</v>
      </c>
      <c r="D7" s="162" t="s">
        <v>1310</v>
      </c>
      <c r="E7" s="162" t="s">
        <v>1115</v>
      </c>
      <c r="F7" s="31">
        <v>15</v>
      </c>
      <c r="G7" s="66">
        <f t="shared" ref="G7:G16" si="2">F7/4</f>
        <v>3.75</v>
      </c>
      <c r="H7" s="10" t="s">
        <v>23</v>
      </c>
      <c r="I7" s="10">
        <v>5</v>
      </c>
      <c r="J7" s="13">
        <f>G7/50</f>
        <v>7.4999999999999997E-2</v>
      </c>
      <c r="K7" s="30">
        <f t="shared" si="0"/>
        <v>0.67446043165467628</v>
      </c>
      <c r="L7" s="30">
        <f t="shared" si="1"/>
        <v>3.3723021582733814</v>
      </c>
      <c r="R7" s="3"/>
      <c r="S7" s="3"/>
    </row>
    <row r="8" spans="1:19">
      <c r="A8" s="7"/>
      <c r="B8" s="7"/>
      <c r="E8" s="162" t="s">
        <v>1116</v>
      </c>
      <c r="F8" s="31">
        <v>4.5</v>
      </c>
      <c r="G8" s="66">
        <f t="shared" si="2"/>
        <v>1.125</v>
      </c>
      <c r="H8" s="10" t="s">
        <v>14</v>
      </c>
      <c r="I8" s="10">
        <v>5</v>
      </c>
      <c r="J8" s="13">
        <f>G9/40</f>
        <v>1.7499999999999998E-2</v>
      </c>
      <c r="K8" s="30">
        <f t="shared" si="0"/>
        <v>0.15737410071942445</v>
      </c>
      <c r="L8" s="30">
        <f t="shared" si="1"/>
        <v>0.78687050359712229</v>
      </c>
      <c r="R8" s="7"/>
      <c r="S8" s="7"/>
    </row>
    <row r="9" spans="1:19">
      <c r="A9" s="7"/>
      <c r="B9" s="7"/>
      <c r="E9" s="162" t="s">
        <v>1118</v>
      </c>
      <c r="F9" s="31">
        <v>2.8</v>
      </c>
      <c r="G9" s="66">
        <f t="shared" si="2"/>
        <v>0.7</v>
      </c>
      <c r="H9" s="10" t="s">
        <v>19</v>
      </c>
      <c r="I9" s="10">
        <v>5</v>
      </c>
      <c r="J9" s="13">
        <f>G9/7</f>
        <v>9.9999999999999992E-2</v>
      </c>
      <c r="K9" s="30">
        <f t="shared" si="0"/>
        <v>0.89928057553956831</v>
      </c>
      <c r="L9" s="30">
        <f t="shared" si="1"/>
        <v>4.4964028776978413</v>
      </c>
      <c r="R9" s="7"/>
      <c r="S9" s="7"/>
    </row>
    <row r="10" spans="1:19">
      <c r="A10" s="7"/>
      <c r="B10" s="7"/>
      <c r="E10" s="162" t="s">
        <v>1122</v>
      </c>
      <c r="F10" s="31">
        <v>250</v>
      </c>
      <c r="G10" s="66">
        <f t="shared" si="2"/>
        <v>62.5</v>
      </c>
      <c r="H10" s="10" t="s">
        <v>20</v>
      </c>
      <c r="I10" s="10">
        <v>4</v>
      </c>
      <c r="J10" s="13">
        <f>G10/80</f>
        <v>0.78125</v>
      </c>
      <c r="K10" s="30">
        <f t="shared" si="0"/>
        <v>7.0256294964028783</v>
      </c>
      <c r="L10" s="30">
        <f t="shared" si="1"/>
        <v>28.102517985611513</v>
      </c>
      <c r="R10" s="7"/>
      <c r="S10" s="7"/>
    </row>
    <row r="11" spans="1:19">
      <c r="E11" s="162" t="s">
        <v>1123</v>
      </c>
      <c r="F11" s="31">
        <v>15</v>
      </c>
      <c r="G11" s="66">
        <f t="shared" si="2"/>
        <v>3.75</v>
      </c>
      <c r="H11" s="10" t="s">
        <v>23</v>
      </c>
      <c r="I11" s="10">
        <v>5</v>
      </c>
      <c r="J11" s="13">
        <f>G11/70</f>
        <v>5.3571428571428568E-2</v>
      </c>
      <c r="K11" s="30">
        <f t="shared" si="0"/>
        <v>0.48175745118191166</v>
      </c>
      <c r="L11" s="30">
        <f t="shared" si="1"/>
        <v>2.4087872559095582</v>
      </c>
      <c r="R11" s="7"/>
      <c r="S11" s="7"/>
    </row>
    <row r="12" spans="1:19">
      <c r="E12" s="162" t="s">
        <v>1124</v>
      </c>
      <c r="F12" s="31">
        <v>20</v>
      </c>
      <c r="G12" s="66">
        <f t="shared" si="2"/>
        <v>5</v>
      </c>
      <c r="H12" s="10" t="s">
        <v>23</v>
      </c>
      <c r="I12" s="10">
        <v>5</v>
      </c>
      <c r="J12" s="13">
        <f>G12/70</f>
        <v>7.1428571428571425E-2</v>
      </c>
      <c r="K12" s="30">
        <f t="shared" si="0"/>
        <v>0.64234326824254884</v>
      </c>
      <c r="L12" s="30">
        <f t="shared" si="1"/>
        <v>3.2117163412127443</v>
      </c>
    </row>
    <row r="13" spans="1:19">
      <c r="E13" s="163" t="s">
        <v>1125</v>
      </c>
      <c r="F13" s="33">
        <v>30</v>
      </c>
      <c r="G13" s="66">
        <f t="shared" si="2"/>
        <v>7.5</v>
      </c>
      <c r="H13" s="10" t="s">
        <v>14</v>
      </c>
      <c r="I13" s="10">
        <v>5</v>
      </c>
      <c r="J13" s="13">
        <f>G13/70</f>
        <v>0.10714285714285714</v>
      </c>
      <c r="K13" s="30">
        <f t="shared" si="0"/>
        <v>0.96351490236382331</v>
      </c>
      <c r="L13" s="30">
        <f t="shared" si="1"/>
        <v>4.8175745118191164</v>
      </c>
    </row>
    <row r="14" spans="1:19">
      <c r="E14" s="163" t="s">
        <v>1181</v>
      </c>
      <c r="F14" s="33">
        <v>30</v>
      </c>
      <c r="G14" s="66">
        <f t="shared" si="2"/>
        <v>7.5</v>
      </c>
      <c r="H14" s="10" t="s">
        <v>23</v>
      </c>
      <c r="I14" s="10">
        <v>5</v>
      </c>
      <c r="J14" s="13">
        <f>G14/70</f>
        <v>0.10714285714285714</v>
      </c>
      <c r="K14" s="30">
        <f t="shared" si="0"/>
        <v>0.96351490236382331</v>
      </c>
      <c r="L14" s="30">
        <f t="shared" si="1"/>
        <v>4.8175745118191164</v>
      </c>
    </row>
    <row r="15" spans="1:19">
      <c r="E15" s="163" t="s">
        <v>1126</v>
      </c>
      <c r="F15" s="33">
        <v>30</v>
      </c>
      <c r="G15" s="66">
        <f t="shared" si="2"/>
        <v>7.5</v>
      </c>
      <c r="H15" s="10" t="s">
        <v>32</v>
      </c>
      <c r="I15" s="10">
        <v>2</v>
      </c>
      <c r="J15" s="13">
        <f>G15/140</f>
        <v>5.3571428571428568E-2</v>
      </c>
      <c r="K15" s="30">
        <f t="shared" si="0"/>
        <v>0.48175745118191166</v>
      </c>
      <c r="L15" s="30">
        <f t="shared" si="1"/>
        <v>0.96351490236382331</v>
      </c>
    </row>
    <row r="16" spans="1:19">
      <c r="E16" s="164" t="s">
        <v>1127</v>
      </c>
      <c r="F16" s="34">
        <v>85</v>
      </c>
      <c r="G16" s="66">
        <f t="shared" si="2"/>
        <v>21.25</v>
      </c>
      <c r="H16" s="10" t="s">
        <v>20</v>
      </c>
      <c r="I16" s="10">
        <v>4</v>
      </c>
      <c r="J16" s="18">
        <f>G16/20</f>
        <v>1.0625</v>
      </c>
      <c r="K16" s="30">
        <f t="shared" si="0"/>
        <v>9.5548561151079134</v>
      </c>
      <c r="L16" s="30">
        <f t="shared" si="1"/>
        <v>38.219424460431654</v>
      </c>
      <c r="P16" s="14">
        <f>G16*11/100</f>
        <v>2.3374999999999999</v>
      </c>
    </row>
    <row r="17" spans="3:17">
      <c r="E17" s="164" t="s">
        <v>1128</v>
      </c>
      <c r="F17" s="34">
        <v>9</v>
      </c>
      <c r="G17" s="66">
        <f t="shared" ref="G17" si="3">F17/4</f>
        <v>2.25</v>
      </c>
      <c r="H17" s="31"/>
      <c r="J17" s="13">
        <v>0</v>
      </c>
      <c r="K17" s="30">
        <f t="shared" si="0"/>
        <v>0</v>
      </c>
      <c r="L17" s="30">
        <f t="shared" si="1"/>
        <v>0</v>
      </c>
      <c r="P17" s="20">
        <f>G17*24/100</f>
        <v>0.54</v>
      </c>
    </row>
    <row r="18" spans="3:17">
      <c r="C18" s="162" t="s">
        <v>1047</v>
      </c>
      <c r="D18" s="162" t="s">
        <v>1310</v>
      </c>
      <c r="E18" s="162" t="s">
        <v>418</v>
      </c>
      <c r="G18" s="66">
        <v>50</v>
      </c>
      <c r="H18" s="10" t="s">
        <v>31</v>
      </c>
      <c r="I18" s="10">
        <v>2</v>
      </c>
      <c r="J18" s="13">
        <f>G18/50</f>
        <v>1</v>
      </c>
      <c r="K18" s="30">
        <f t="shared" si="0"/>
        <v>8.9928057553956844</v>
      </c>
      <c r="L18" s="30">
        <f t="shared" si="1"/>
        <v>17.985611510791369</v>
      </c>
      <c r="M18" s="25"/>
    </row>
    <row r="19" spans="3:17">
      <c r="C19" s="53"/>
      <c r="E19" s="162" t="s">
        <v>1129</v>
      </c>
      <c r="G19" s="66">
        <v>5</v>
      </c>
      <c r="I19" s="36"/>
      <c r="J19" s="18">
        <v>0</v>
      </c>
      <c r="K19" s="30">
        <f t="shared" si="0"/>
        <v>0</v>
      </c>
      <c r="L19" s="30">
        <f t="shared" si="1"/>
        <v>0</v>
      </c>
      <c r="M19" s="25"/>
      <c r="Q19" s="21">
        <v>5</v>
      </c>
    </row>
    <row r="20" spans="3:17">
      <c r="C20" s="161" t="s">
        <v>1130</v>
      </c>
      <c r="D20" s="25" t="s">
        <v>1311</v>
      </c>
      <c r="E20" s="162" t="s">
        <v>1131</v>
      </c>
      <c r="G20" s="66">
        <v>2.2400000000000002</v>
      </c>
      <c r="H20" s="10" t="s">
        <v>29</v>
      </c>
      <c r="I20" s="10">
        <v>3</v>
      </c>
      <c r="J20" s="13">
        <f>G20/2</f>
        <v>1.1200000000000001</v>
      </c>
      <c r="K20" s="30">
        <f t="shared" si="0"/>
        <v>10.071942446043167</v>
      </c>
      <c r="L20" s="30">
        <f t="shared" si="1"/>
        <v>30.2158273381295</v>
      </c>
    </row>
    <row r="21" spans="3:17">
      <c r="E21" s="162" t="s">
        <v>1132</v>
      </c>
      <c r="G21" s="66">
        <v>0.26</v>
      </c>
      <c r="J21" s="18">
        <v>0</v>
      </c>
      <c r="K21" s="30">
        <f t="shared" si="0"/>
        <v>0</v>
      </c>
      <c r="L21" s="30">
        <f t="shared" si="1"/>
        <v>0</v>
      </c>
      <c r="Q21" s="21">
        <v>0.3</v>
      </c>
    </row>
    <row r="22" spans="3:17">
      <c r="E22" s="164" t="s">
        <v>195</v>
      </c>
      <c r="G22" s="66">
        <v>0.24</v>
      </c>
      <c r="J22" s="18">
        <v>0</v>
      </c>
      <c r="K22" s="30">
        <f t="shared" si="0"/>
        <v>0</v>
      </c>
      <c r="L22" s="30">
        <f t="shared" si="1"/>
        <v>0</v>
      </c>
      <c r="Q22" s="21">
        <v>0.2</v>
      </c>
    </row>
    <row r="23" spans="3:17">
      <c r="E23" s="162" t="s">
        <v>1134</v>
      </c>
      <c r="G23" s="66">
        <v>2.1</v>
      </c>
      <c r="J23" s="18">
        <v>0</v>
      </c>
      <c r="K23" s="30">
        <f t="shared" si="0"/>
        <v>0</v>
      </c>
      <c r="L23" s="30">
        <f t="shared" si="1"/>
        <v>0</v>
      </c>
      <c r="Q23" s="21">
        <v>2.1</v>
      </c>
    </row>
    <row r="24" spans="3:17">
      <c r="C24" s="163" t="s">
        <v>1135</v>
      </c>
      <c r="D24" s="162" t="s">
        <v>1312</v>
      </c>
      <c r="E24" s="163" t="s">
        <v>1136</v>
      </c>
      <c r="G24" s="67">
        <v>100</v>
      </c>
      <c r="H24" s="10" t="s">
        <v>56</v>
      </c>
      <c r="I24" s="9">
        <v>5</v>
      </c>
      <c r="J24" s="13">
        <f>G24/70</f>
        <v>1.4285714285714286</v>
      </c>
      <c r="K24" s="30">
        <f t="shared" si="0"/>
        <v>12.846865364850975</v>
      </c>
      <c r="L24" s="30">
        <f t="shared" si="1"/>
        <v>64.234326824254879</v>
      </c>
    </row>
    <row r="25" spans="3:17">
      <c r="E25" s="163" t="s">
        <v>1116</v>
      </c>
      <c r="F25" s="29">
        <v>4.5</v>
      </c>
      <c r="G25" s="66">
        <f t="shared" ref="G25:G30" si="4">F25/4</f>
        <v>1.125</v>
      </c>
      <c r="H25" s="10" t="s">
        <v>14</v>
      </c>
      <c r="I25" s="10">
        <v>5</v>
      </c>
      <c r="J25" s="13">
        <f>G26/40</f>
        <v>1.7499999999999998E-2</v>
      </c>
      <c r="K25" s="30">
        <f t="shared" si="0"/>
        <v>0.15737410071942445</v>
      </c>
      <c r="L25" s="30">
        <f t="shared" si="1"/>
        <v>0.78687050359712229</v>
      </c>
    </row>
    <row r="26" spans="3:17">
      <c r="E26" s="158" t="s">
        <v>1057</v>
      </c>
      <c r="F26" s="29">
        <v>2.8</v>
      </c>
      <c r="G26" s="66">
        <f t="shared" si="4"/>
        <v>0.7</v>
      </c>
      <c r="H26" s="10" t="s">
        <v>19</v>
      </c>
      <c r="I26" s="10">
        <v>5</v>
      </c>
      <c r="J26" s="13">
        <f>G26/7</f>
        <v>9.9999999999999992E-2</v>
      </c>
      <c r="K26" s="30">
        <f t="shared" si="0"/>
        <v>0.89928057553956831</v>
      </c>
      <c r="L26" s="30">
        <f t="shared" si="1"/>
        <v>4.4964028776978413</v>
      </c>
    </row>
    <row r="27" spans="3:17">
      <c r="E27" s="163" t="s">
        <v>1137</v>
      </c>
      <c r="F27" s="29">
        <v>3.5</v>
      </c>
      <c r="G27" s="66">
        <f t="shared" si="4"/>
        <v>0.875</v>
      </c>
      <c r="H27" s="10" t="s">
        <v>140</v>
      </c>
      <c r="I27" s="9">
        <v>2</v>
      </c>
      <c r="J27" s="18">
        <f>G27/8</f>
        <v>0.109375</v>
      </c>
      <c r="K27" s="30">
        <f t="shared" si="0"/>
        <v>0.98358812949640306</v>
      </c>
      <c r="L27" s="30">
        <f t="shared" si="1"/>
        <v>1.9671762589928061</v>
      </c>
      <c r="Q27" s="21">
        <f>G27*53.8/100</f>
        <v>0.47074999999999995</v>
      </c>
    </row>
    <row r="28" spans="3:17">
      <c r="E28" s="163" t="s">
        <v>1133</v>
      </c>
      <c r="G28" s="67">
        <v>1.5</v>
      </c>
      <c r="J28" s="18">
        <v>0</v>
      </c>
      <c r="K28" s="30">
        <f t="shared" si="0"/>
        <v>0</v>
      </c>
      <c r="L28" s="30">
        <f t="shared" si="1"/>
        <v>0</v>
      </c>
      <c r="P28" s="20">
        <v>1.5</v>
      </c>
    </row>
    <row r="29" spans="3:17">
      <c r="E29" s="163" t="s">
        <v>1128</v>
      </c>
      <c r="F29" s="29">
        <v>3</v>
      </c>
      <c r="G29" s="66">
        <f t="shared" si="4"/>
        <v>0.75</v>
      </c>
      <c r="J29" s="18">
        <v>0</v>
      </c>
      <c r="K29" s="30">
        <f t="shared" si="0"/>
        <v>0</v>
      </c>
      <c r="L29" s="30">
        <f t="shared" si="1"/>
        <v>0</v>
      </c>
      <c r="P29" s="20">
        <f>G29*24/100</f>
        <v>0.18</v>
      </c>
    </row>
    <row r="30" spans="3:17">
      <c r="E30" s="163" t="s">
        <v>1132</v>
      </c>
      <c r="F30" s="29">
        <v>8</v>
      </c>
      <c r="G30" s="66">
        <f t="shared" si="4"/>
        <v>2</v>
      </c>
      <c r="J30" s="18">
        <v>0</v>
      </c>
      <c r="K30" s="30">
        <f t="shared" si="0"/>
        <v>0</v>
      </c>
      <c r="L30" s="30">
        <f t="shared" si="1"/>
        <v>0</v>
      </c>
      <c r="Q30" s="21">
        <v>2</v>
      </c>
    </row>
    <row r="31" spans="3:17">
      <c r="C31" s="163" t="s">
        <v>1049</v>
      </c>
      <c r="D31" s="162" t="s">
        <v>1310</v>
      </c>
      <c r="E31" s="162" t="s">
        <v>1138</v>
      </c>
      <c r="F31" s="31">
        <v>4800</v>
      </c>
      <c r="G31" s="66">
        <f>F31/60</f>
        <v>80</v>
      </c>
      <c r="H31" s="10" t="s">
        <v>91</v>
      </c>
      <c r="I31" s="9">
        <v>5</v>
      </c>
      <c r="J31" s="13">
        <f>G31/70</f>
        <v>1.1428571428571428</v>
      </c>
      <c r="K31" s="30">
        <f t="shared" si="0"/>
        <v>10.277492291880781</v>
      </c>
      <c r="L31" s="30">
        <f t="shared" si="1"/>
        <v>51.387461459403909</v>
      </c>
    </row>
    <row r="32" spans="3:17">
      <c r="E32" s="158" t="s">
        <v>1139</v>
      </c>
      <c r="F32" s="31">
        <v>1000</v>
      </c>
      <c r="G32" s="66">
        <f t="shared" ref="G32:G39" si="5">F32/60</f>
        <v>16.666666666666668</v>
      </c>
      <c r="H32" s="10" t="s">
        <v>23</v>
      </c>
      <c r="I32" s="10">
        <v>5</v>
      </c>
      <c r="J32" s="13">
        <f>G32/70</f>
        <v>0.23809523809523811</v>
      </c>
      <c r="K32" s="30">
        <f t="shared" si="0"/>
        <v>2.1411442274751629</v>
      </c>
      <c r="L32" s="30">
        <f t="shared" si="1"/>
        <v>10.705721137375814</v>
      </c>
    </row>
    <row r="33" spans="1:17">
      <c r="E33" s="162" t="s">
        <v>1140</v>
      </c>
      <c r="F33" s="31">
        <v>100</v>
      </c>
      <c r="G33" s="66">
        <f t="shared" si="5"/>
        <v>1.6666666666666667</v>
      </c>
      <c r="H33" s="10" t="s">
        <v>23</v>
      </c>
      <c r="I33" s="10">
        <v>5</v>
      </c>
      <c r="J33" s="13">
        <f>G33/70</f>
        <v>2.3809523809523812E-2</v>
      </c>
      <c r="K33" s="30">
        <f t="shared" si="0"/>
        <v>0.2141144227475163</v>
      </c>
      <c r="L33" s="30">
        <f t="shared" si="1"/>
        <v>1.0705721137375814</v>
      </c>
    </row>
    <row r="34" spans="1:17">
      <c r="E34" s="162" t="s">
        <v>1277</v>
      </c>
      <c r="F34" s="31">
        <v>200</v>
      </c>
      <c r="G34" s="66">
        <f t="shared" si="5"/>
        <v>3.3333333333333335</v>
      </c>
      <c r="H34" s="10" t="s">
        <v>14</v>
      </c>
      <c r="I34" s="10">
        <v>5</v>
      </c>
      <c r="J34" s="13">
        <f>G34/40</f>
        <v>8.3333333333333343E-2</v>
      </c>
      <c r="K34" s="30">
        <f t="shared" si="0"/>
        <v>0.74940047961630707</v>
      </c>
      <c r="L34" s="30">
        <f t="shared" si="1"/>
        <v>3.7470023980815355</v>
      </c>
    </row>
    <row r="35" spans="1:17">
      <c r="E35" s="158" t="s">
        <v>1141</v>
      </c>
      <c r="F35" s="31">
        <v>200</v>
      </c>
      <c r="G35" s="66">
        <f t="shared" si="5"/>
        <v>3.3333333333333335</v>
      </c>
      <c r="H35" s="10" t="s">
        <v>23</v>
      </c>
      <c r="I35" s="10">
        <v>5</v>
      </c>
      <c r="J35" s="13">
        <f>G35/40</f>
        <v>8.3333333333333343E-2</v>
      </c>
      <c r="K35" s="30">
        <f t="shared" si="0"/>
        <v>0.74940047961630707</v>
      </c>
      <c r="L35" s="30">
        <f t="shared" si="1"/>
        <v>3.7470023980815355</v>
      </c>
    </row>
    <row r="36" spans="1:17">
      <c r="E36" s="162" t="s">
        <v>1143</v>
      </c>
      <c r="F36" s="31">
        <v>200</v>
      </c>
      <c r="G36" s="66">
        <f t="shared" si="5"/>
        <v>3.3333333333333335</v>
      </c>
      <c r="H36" s="10" t="s">
        <v>21</v>
      </c>
      <c r="I36" s="10">
        <v>4</v>
      </c>
      <c r="J36" s="13">
        <v>0.05</v>
      </c>
      <c r="K36" s="30">
        <f t="shared" si="0"/>
        <v>0.44964028776978426</v>
      </c>
      <c r="L36" s="30">
        <f t="shared" si="1"/>
        <v>1.7985611510791371</v>
      </c>
    </row>
    <row r="37" spans="1:17">
      <c r="E37" s="162" t="s">
        <v>1116</v>
      </c>
      <c r="F37" s="31">
        <v>200</v>
      </c>
      <c r="G37" s="66">
        <f t="shared" si="5"/>
        <v>3.3333333333333335</v>
      </c>
      <c r="H37" s="10" t="s">
        <v>14</v>
      </c>
      <c r="I37" s="10">
        <v>5</v>
      </c>
      <c r="J37" s="13">
        <f>G37/40</f>
        <v>8.3333333333333343E-2</v>
      </c>
      <c r="K37" s="30">
        <f t="shared" si="0"/>
        <v>0.74940047961630707</v>
      </c>
      <c r="L37" s="30">
        <f t="shared" si="1"/>
        <v>3.7470023980815355</v>
      </c>
    </row>
    <row r="38" spans="1:17">
      <c r="E38" s="158" t="s">
        <v>1057</v>
      </c>
      <c r="F38" s="31">
        <v>80</v>
      </c>
      <c r="G38" s="66">
        <f t="shared" si="5"/>
        <v>1.3333333333333333</v>
      </c>
      <c r="H38" s="10" t="s">
        <v>19</v>
      </c>
      <c r="I38" s="10">
        <v>5</v>
      </c>
      <c r="J38" s="13">
        <f>G38/7</f>
        <v>0.19047619047619047</v>
      </c>
      <c r="K38" s="30">
        <f t="shared" si="0"/>
        <v>1.7129153819801302</v>
      </c>
      <c r="L38" s="30">
        <f t="shared" si="1"/>
        <v>8.5645769099006515</v>
      </c>
    </row>
    <row r="39" spans="1:17">
      <c r="E39" s="162" t="s">
        <v>1144</v>
      </c>
      <c r="F39" s="31">
        <v>36</v>
      </c>
      <c r="G39" s="66">
        <f t="shared" si="5"/>
        <v>0.6</v>
      </c>
      <c r="H39" s="10" t="s">
        <v>23</v>
      </c>
      <c r="I39" s="10">
        <v>5</v>
      </c>
      <c r="J39" s="13">
        <f>G39/34</f>
        <v>1.7647058823529412E-2</v>
      </c>
      <c r="K39" s="30">
        <f t="shared" si="0"/>
        <v>0.15869657215404148</v>
      </c>
      <c r="L39" s="30">
        <f t="shared" si="1"/>
        <v>0.79348286077020735</v>
      </c>
    </row>
    <row r="40" spans="1:17">
      <c r="E40" s="162" t="s">
        <v>1145</v>
      </c>
      <c r="F40" s="31">
        <v>130</v>
      </c>
      <c r="G40" s="66">
        <f>F40/60</f>
        <v>2.1666666666666665</v>
      </c>
      <c r="H40" s="10" t="s">
        <v>23</v>
      </c>
      <c r="I40" s="10">
        <v>5</v>
      </c>
      <c r="J40" s="13">
        <v>0</v>
      </c>
      <c r="K40" s="30">
        <f t="shared" si="0"/>
        <v>0</v>
      </c>
      <c r="L40" s="30">
        <f t="shared" si="1"/>
        <v>0</v>
      </c>
    </row>
    <row r="41" spans="1:17">
      <c r="E41" s="164" t="s">
        <v>1133</v>
      </c>
      <c r="F41" s="31"/>
      <c r="G41" s="66">
        <v>0.7</v>
      </c>
      <c r="J41" s="18">
        <v>0</v>
      </c>
      <c r="K41" s="30">
        <f t="shared" si="0"/>
        <v>0</v>
      </c>
      <c r="L41" s="30">
        <f t="shared" si="1"/>
        <v>0</v>
      </c>
      <c r="P41" s="20">
        <v>0.7</v>
      </c>
    </row>
    <row r="42" spans="1:17">
      <c r="E42" s="162" t="s">
        <v>1146</v>
      </c>
      <c r="F42" s="31">
        <v>100</v>
      </c>
      <c r="G42" s="66">
        <f>F42/60</f>
        <v>1.6666666666666667</v>
      </c>
      <c r="J42" s="18">
        <v>0</v>
      </c>
      <c r="K42" s="30">
        <f t="shared" si="0"/>
        <v>0</v>
      </c>
      <c r="L42" s="30">
        <f t="shared" si="1"/>
        <v>0</v>
      </c>
      <c r="P42" s="20">
        <f>G42*22/100</f>
        <v>0.3666666666666667</v>
      </c>
    </row>
    <row r="43" spans="1:17">
      <c r="E43" s="162" t="s">
        <v>1147</v>
      </c>
      <c r="F43" s="31">
        <v>100</v>
      </c>
      <c r="G43" s="66">
        <f>F43/60</f>
        <v>1.6666666666666667</v>
      </c>
      <c r="J43" s="18">
        <v>0</v>
      </c>
      <c r="K43" s="30">
        <f t="shared" si="0"/>
        <v>0</v>
      </c>
      <c r="L43" s="30">
        <f t="shared" si="1"/>
        <v>0</v>
      </c>
      <c r="P43" s="20">
        <f>5*G43/100</f>
        <v>8.3333333333333343E-2</v>
      </c>
    </row>
    <row r="44" spans="1:17" ht="17.25" thickBot="1">
      <c r="A44" s="37"/>
      <c r="B44" s="37"/>
      <c r="C44" s="37"/>
      <c r="D44" s="40"/>
      <c r="E44" s="165"/>
      <c r="F44" s="37"/>
      <c r="G44" s="68"/>
      <c r="H44" s="37"/>
      <c r="I44" s="39"/>
      <c r="J44" s="26">
        <f>SUM(J5:J43)</f>
        <v>11.117438725490196</v>
      </c>
      <c r="K44" s="38">
        <f>SUM(K5:K43)</f>
        <v>99.976966955847089</v>
      </c>
      <c r="L44" s="38"/>
      <c r="M44" s="38">
        <f>SUM(L5:L43)</f>
        <v>368.38672969187678</v>
      </c>
      <c r="N44" s="37" t="s">
        <v>36</v>
      </c>
      <c r="O44" s="37" t="s">
        <v>13</v>
      </c>
      <c r="P44" s="27">
        <f>SUM(P5:P43)</f>
        <v>5.7074999999999987</v>
      </c>
      <c r="Q44" s="28">
        <f>SUM(Q5:Q43)</f>
        <v>10.07075</v>
      </c>
    </row>
    <row r="45" spans="1:17">
      <c r="M45" s="30"/>
    </row>
    <row r="46" spans="1:17">
      <c r="A46" s="7">
        <v>2</v>
      </c>
      <c r="B46" s="7" t="s">
        <v>42</v>
      </c>
      <c r="C46" s="161" t="s">
        <v>1114</v>
      </c>
      <c r="E46" s="163" t="s">
        <v>1114</v>
      </c>
      <c r="G46" s="64">
        <v>90</v>
      </c>
      <c r="H46" s="10" t="s">
        <v>15</v>
      </c>
      <c r="I46" s="10">
        <v>2</v>
      </c>
      <c r="J46" s="13">
        <f>G46/30</f>
        <v>3</v>
      </c>
      <c r="K46" s="30">
        <f>J46/8.6*100</f>
        <v>34.883720930232556</v>
      </c>
      <c r="L46" s="30">
        <f>K46*I46</f>
        <v>69.767441860465112</v>
      </c>
      <c r="P46" s="23"/>
      <c r="Q46" s="24"/>
    </row>
    <row r="47" spans="1:17">
      <c r="A47" s="7"/>
      <c r="C47" s="161" t="s">
        <v>1050</v>
      </c>
      <c r="D47" s="163" t="s">
        <v>1310</v>
      </c>
      <c r="E47" s="163" t="s">
        <v>1148</v>
      </c>
      <c r="F47" s="29">
        <v>20</v>
      </c>
      <c r="G47" s="64">
        <f>F47/4</f>
        <v>5</v>
      </c>
      <c r="H47" s="10" t="s">
        <v>29</v>
      </c>
      <c r="I47" s="10">
        <v>3</v>
      </c>
      <c r="J47" s="18">
        <f>G47/18.2</f>
        <v>0.27472527472527475</v>
      </c>
      <c r="K47" s="30">
        <f t="shared" ref="K47:K89" si="6">J47/8.6*100</f>
        <v>3.1944799386659852</v>
      </c>
      <c r="L47" s="30">
        <f t="shared" ref="L47:L88" si="7">K47*I47</f>
        <v>9.5834398159979557</v>
      </c>
      <c r="P47" s="23"/>
      <c r="Q47" s="24"/>
    </row>
    <row r="48" spans="1:17">
      <c r="A48" s="7"/>
      <c r="C48" s="7"/>
      <c r="D48" s="29"/>
      <c r="E48" s="163" t="s">
        <v>1149</v>
      </c>
      <c r="F48" s="29">
        <v>100</v>
      </c>
      <c r="G48" s="64">
        <f t="shared" ref="G48:G78" si="8">F48/4</f>
        <v>25</v>
      </c>
      <c r="H48" s="10" t="s">
        <v>17</v>
      </c>
      <c r="I48" s="10">
        <v>1</v>
      </c>
      <c r="J48" s="18">
        <f>G48/40</f>
        <v>0.625</v>
      </c>
      <c r="K48" s="30">
        <f t="shared" si="6"/>
        <v>7.2674418604651168</v>
      </c>
      <c r="L48" s="30">
        <f t="shared" si="7"/>
        <v>7.2674418604651168</v>
      </c>
      <c r="P48" s="23"/>
      <c r="Q48" s="24"/>
    </row>
    <row r="49" spans="1:17">
      <c r="A49" s="7"/>
      <c r="C49" s="7"/>
      <c r="D49" s="29"/>
      <c r="E49" s="158" t="s">
        <v>1057</v>
      </c>
      <c r="F49" s="29">
        <v>2.8</v>
      </c>
      <c r="G49" s="64">
        <f t="shared" si="8"/>
        <v>0.7</v>
      </c>
      <c r="H49" s="10" t="s">
        <v>16</v>
      </c>
      <c r="I49" s="10">
        <v>5</v>
      </c>
      <c r="J49" s="13">
        <f>G49/7</f>
        <v>9.9999999999999992E-2</v>
      </c>
      <c r="K49" s="30">
        <f t="shared" si="6"/>
        <v>1.1627906976744187</v>
      </c>
      <c r="L49" s="30">
        <f t="shared" si="7"/>
        <v>5.8139534883720936</v>
      </c>
      <c r="P49" s="23"/>
      <c r="Q49" s="24"/>
    </row>
    <row r="50" spans="1:17">
      <c r="A50" s="7"/>
      <c r="C50" s="7"/>
      <c r="D50" s="29"/>
      <c r="E50" s="163" t="s">
        <v>1132</v>
      </c>
      <c r="F50" s="29">
        <v>13</v>
      </c>
      <c r="G50" s="64">
        <f t="shared" si="8"/>
        <v>3.25</v>
      </c>
      <c r="J50" s="18">
        <v>0</v>
      </c>
      <c r="K50" s="30">
        <f t="shared" si="6"/>
        <v>0</v>
      </c>
      <c r="L50" s="30">
        <f t="shared" si="7"/>
        <v>0</v>
      </c>
      <c r="P50" s="23"/>
      <c r="Q50" s="24">
        <v>3.3</v>
      </c>
    </row>
    <row r="51" spans="1:17">
      <c r="A51" s="7"/>
      <c r="C51" s="7"/>
      <c r="D51" s="29"/>
      <c r="E51" s="163" t="s">
        <v>1133</v>
      </c>
      <c r="F51" s="29">
        <v>6</v>
      </c>
      <c r="G51" s="64">
        <f t="shared" si="8"/>
        <v>1.5</v>
      </c>
      <c r="J51" s="18">
        <v>0</v>
      </c>
      <c r="K51" s="30">
        <f t="shared" si="6"/>
        <v>0</v>
      </c>
      <c r="L51" s="30">
        <f t="shared" si="7"/>
        <v>0</v>
      </c>
      <c r="P51" s="23">
        <v>1.5</v>
      </c>
      <c r="Q51" s="24"/>
    </row>
    <row r="52" spans="1:17">
      <c r="A52" s="7"/>
      <c r="C52" s="7"/>
      <c r="D52" s="29"/>
      <c r="E52" s="163" t="s">
        <v>1128</v>
      </c>
      <c r="F52" s="29">
        <v>3</v>
      </c>
      <c r="G52" s="66">
        <f t="shared" si="8"/>
        <v>0.75</v>
      </c>
      <c r="J52" s="18">
        <v>0</v>
      </c>
      <c r="K52" s="30">
        <f t="shared" si="6"/>
        <v>0</v>
      </c>
      <c r="L52" s="30">
        <f t="shared" si="7"/>
        <v>0</v>
      </c>
      <c r="P52" s="20">
        <f>G52*24/100</f>
        <v>0.18</v>
      </c>
      <c r="Q52" s="24"/>
    </row>
    <row r="53" spans="1:17">
      <c r="A53" s="7"/>
      <c r="C53" s="161" t="s">
        <v>1051</v>
      </c>
      <c r="D53" s="162" t="s">
        <v>1310</v>
      </c>
      <c r="E53" s="163" t="s">
        <v>1150</v>
      </c>
      <c r="F53" s="29">
        <v>35</v>
      </c>
      <c r="G53" s="64">
        <f t="shared" si="8"/>
        <v>8.75</v>
      </c>
      <c r="H53" s="10" t="s">
        <v>21</v>
      </c>
      <c r="I53" s="10">
        <v>4</v>
      </c>
      <c r="J53" s="18">
        <f>G53/15</f>
        <v>0.58333333333333337</v>
      </c>
      <c r="K53" s="30">
        <f t="shared" si="6"/>
        <v>6.7829457364341099</v>
      </c>
      <c r="L53" s="30">
        <f t="shared" si="7"/>
        <v>27.13178294573644</v>
      </c>
      <c r="P53" s="23"/>
      <c r="Q53" s="24"/>
    </row>
    <row r="54" spans="1:17">
      <c r="A54" s="7"/>
      <c r="C54" s="7"/>
      <c r="D54" s="29"/>
      <c r="E54" s="163" t="s">
        <v>1123</v>
      </c>
      <c r="F54" s="29">
        <v>5</v>
      </c>
      <c r="G54" s="64">
        <f t="shared" si="8"/>
        <v>1.25</v>
      </c>
      <c r="H54" s="10" t="s">
        <v>23</v>
      </c>
      <c r="I54" s="10">
        <v>5</v>
      </c>
      <c r="J54" s="13">
        <f>G54/70</f>
        <v>1.7857142857142856E-2</v>
      </c>
      <c r="K54" s="30">
        <f t="shared" si="6"/>
        <v>0.20764119601328906</v>
      </c>
      <c r="L54" s="30">
        <f t="shared" si="7"/>
        <v>1.0382059800664454</v>
      </c>
      <c r="P54" s="23"/>
      <c r="Q54" s="24"/>
    </row>
    <row r="55" spans="1:17">
      <c r="A55" s="7"/>
      <c r="C55" s="7"/>
      <c r="D55" s="29"/>
      <c r="E55" s="163" t="s">
        <v>1124</v>
      </c>
      <c r="F55" s="29">
        <v>5</v>
      </c>
      <c r="G55" s="64">
        <f t="shared" si="8"/>
        <v>1.25</v>
      </c>
      <c r="H55" s="10" t="s">
        <v>23</v>
      </c>
      <c r="I55" s="10">
        <v>5</v>
      </c>
      <c r="J55" s="13">
        <f>G55/70</f>
        <v>1.7857142857142856E-2</v>
      </c>
      <c r="K55" s="30">
        <f t="shared" si="6"/>
        <v>0.20764119601328906</v>
      </c>
      <c r="L55" s="30">
        <f t="shared" si="7"/>
        <v>1.0382059800664454</v>
      </c>
      <c r="P55" s="23"/>
      <c r="Q55" s="24"/>
    </row>
    <row r="56" spans="1:17">
      <c r="A56" s="7"/>
      <c r="C56" s="7"/>
      <c r="D56" s="29"/>
      <c r="E56" s="163" t="s">
        <v>1151</v>
      </c>
      <c r="F56" s="29">
        <v>3</v>
      </c>
      <c r="G56" s="64">
        <f t="shared" si="8"/>
        <v>0.75</v>
      </c>
      <c r="J56" s="18">
        <v>0</v>
      </c>
      <c r="K56" s="30">
        <f t="shared" si="6"/>
        <v>0</v>
      </c>
      <c r="L56" s="30">
        <f t="shared" si="7"/>
        <v>0</v>
      </c>
      <c r="P56" s="23">
        <f>G56*16/100</f>
        <v>0.12</v>
      </c>
      <c r="Q56" s="24"/>
    </row>
    <row r="57" spans="1:17">
      <c r="A57" s="7"/>
      <c r="C57" s="7"/>
      <c r="D57" s="29"/>
      <c r="E57" s="163" t="s">
        <v>1152</v>
      </c>
      <c r="F57" s="29">
        <v>4</v>
      </c>
      <c r="G57" s="64">
        <f t="shared" si="8"/>
        <v>1</v>
      </c>
      <c r="J57" s="18">
        <v>0</v>
      </c>
      <c r="K57" s="30">
        <f t="shared" si="6"/>
        <v>0</v>
      </c>
      <c r="L57" s="30">
        <f t="shared" si="7"/>
        <v>0</v>
      </c>
      <c r="P57" s="23"/>
      <c r="Q57" s="24"/>
    </row>
    <row r="58" spans="1:17">
      <c r="A58" s="7"/>
      <c r="C58" s="7"/>
      <c r="D58" s="29"/>
      <c r="E58" s="163" t="s">
        <v>1153</v>
      </c>
      <c r="F58" s="29">
        <v>19</v>
      </c>
      <c r="G58" s="64">
        <f t="shared" si="8"/>
        <v>4.75</v>
      </c>
      <c r="J58" s="18">
        <v>0</v>
      </c>
      <c r="K58" s="30">
        <f t="shared" si="6"/>
        <v>0</v>
      </c>
      <c r="L58" s="30">
        <f t="shared" si="7"/>
        <v>0</v>
      </c>
      <c r="P58" s="23"/>
      <c r="Q58" s="24"/>
    </row>
    <row r="59" spans="1:17">
      <c r="A59" s="7"/>
      <c r="C59" s="7"/>
      <c r="D59" s="29"/>
      <c r="E59" s="163" t="s">
        <v>1116</v>
      </c>
      <c r="F59" s="29">
        <v>2.2999999999999998</v>
      </c>
      <c r="G59" s="64">
        <f t="shared" si="8"/>
        <v>0.57499999999999996</v>
      </c>
      <c r="H59" s="10" t="s">
        <v>14</v>
      </c>
      <c r="I59" s="10">
        <v>5</v>
      </c>
      <c r="J59" s="13">
        <f>G60/40</f>
        <v>1.7499999999999998E-2</v>
      </c>
      <c r="K59" s="30">
        <f t="shared" si="6"/>
        <v>0.20348837209302326</v>
      </c>
      <c r="L59" s="30">
        <f t="shared" si="7"/>
        <v>1.0174418604651163</v>
      </c>
      <c r="P59" s="23"/>
      <c r="Q59" s="24"/>
    </row>
    <row r="60" spans="1:17">
      <c r="A60" s="7"/>
      <c r="C60" s="7"/>
      <c r="D60" s="29"/>
      <c r="E60" s="158" t="s">
        <v>1057</v>
      </c>
      <c r="F60" s="29">
        <v>2.8</v>
      </c>
      <c r="G60" s="64">
        <f t="shared" si="8"/>
        <v>0.7</v>
      </c>
      <c r="H60" s="10" t="s">
        <v>16</v>
      </c>
      <c r="I60" s="10">
        <v>5</v>
      </c>
      <c r="J60" s="13">
        <f>G60/7</f>
        <v>9.9999999999999992E-2</v>
      </c>
      <c r="K60" s="30">
        <f t="shared" si="6"/>
        <v>1.1627906976744187</v>
      </c>
      <c r="L60" s="30">
        <f t="shared" si="7"/>
        <v>5.8139534883720936</v>
      </c>
      <c r="P60" s="23"/>
      <c r="Q60" s="24"/>
    </row>
    <row r="61" spans="1:17">
      <c r="A61" s="7"/>
      <c r="C61" s="7"/>
      <c r="D61" s="29"/>
      <c r="E61" s="163" t="s">
        <v>1129</v>
      </c>
      <c r="F61" s="29">
        <v>6.5</v>
      </c>
      <c r="G61" s="64">
        <f t="shared" si="8"/>
        <v>1.625</v>
      </c>
      <c r="J61" s="18">
        <v>0</v>
      </c>
      <c r="K61" s="30">
        <f t="shared" si="6"/>
        <v>0</v>
      </c>
      <c r="L61" s="30">
        <f t="shared" si="7"/>
        <v>0</v>
      </c>
      <c r="P61" s="23"/>
      <c r="Q61" s="24">
        <v>1.6</v>
      </c>
    </row>
    <row r="62" spans="1:17">
      <c r="A62" s="7"/>
      <c r="C62" s="7"/>
      <c r="D62" s="29"/>
      <c r="E62" s="163" t="s">
        <v>1132</v>
      </c>
      <c r="F62" s="29">
        <v>4</v>
      </c>
      <c r="G62" s="64">
        <f t="shared" si="8"/>
        <v>1</v>
      </c>
      <c r="J62" s="18">
        <v>0</v>
      </c>
      <c r="K62" s="30">
        <f t="shared" si="6"/>
        <v>0</v>
      </c>
      <c r="L62" s="30">
        <f t="shared" si="7"/>
        <v>0</v>
      </c>
      <c r="P62" s="23"/>
      <c r="Q62" s="24">
        <v>1</v>
      </c>
    </row>
    <row r="63" spans="1:17">
      <c r="A63" s="7"/>
      <c r="C63" s="7"/>
      <c r="D63" s="29"/>
      <c r="E63" s="163" t="s">
        <v>1137</v>
      </c>
      <c r="F63" s="29">
        <v>2</v>
      </c>
      <c r="G63" s="64">
        <f t="shared" si="8"/>
        <v>0.5</v>
      </c>
      <c r="H63" s="10" t="s">
        <v>140</v>
      </c>
      <c r="I63" s="9">
        <v>2</v>
      </c>
      <c r="J63" s="18">
        <v>0</v>
      </c>
      <c r="K63" s="30">
        <f t="shared" si="6"/>
        <v>0</v>
      </c>
      <c r="L63" s="30">
        <f t="shared" si="7"/>
        <v>0</v>
      </c>
      <c r="P63" s="23"/>
      <c r="Q63" s="21">
        <f>G63*53.8/100</f>
        <v>0.26899999999999996</v>
      </c>
    </row>
    <row r="64" spans="1:17">
      <c r="A64" s="7"/>
      <c r="C64" s="161" t="s">
        <v>1052</v>
      </c>
      <c r="D64" s="162" t="s">
        <v>1310</v>
      </c>
      <c r="E64" s="163" t="s">
        <v>1122</v>
      </c>
      <c r="F64" s="29">
        <v>300</v>
      </c>
      <c r="G64" s="64">
        <f t="shared" si="8"/>
        <v>75</v>
      </c>
      <c r="H64" s="10" t="s">
        <v>20</v>
      </c>
      <c r="I64" s="10">
        <v>4</v>
      </c>
      <c r="J64" s="13">
        <f>G64/80</f>
        <v>0.9375</v>
      </c>
      <c r="K64" s="30">
        <f t="shared" si="6"/>
        <v>10.901162790697674</v>
      </c>
      <c r="L64" s="30">
        <f t="shared" si="7"/>
        <v>43.604651162790695</v>
      </c>
      <c r="P64" s="23"/>
      <c r="Q64" s="24"/>
    </row>
    <row r="65" spans="1:17">
      <c r="A65" s="7"/>
      <c r="C65" s="7"/>
      <c r="D65" s="29"/>
      <c r="E65" s="163" t="s">
        <v>1133</v>
      </c>
      <c r="F65" s="29">
        <v>1</v>
      </c>
      <c r="G65" s="64">
        <f t="shared" si="8"/>
        <v>0.25</v>
      </c>
      <c r="J65" s="18">
        <v>0</v>
      </c>
      <c r="K65" s="30">
        <f t="shared" si="6"/>
        <v>0</v>
      </c>
      <c r="L65" s="30">
        <f t="shared" si="7"/>
        <v>0</v>
      </c>
      <c r="P65" s="23">
        <v>0.3</v>
      </c>
      <c r="Q65" s="24"/>
    </row>
    <row r="66" spans="1:17">
      <c r="A66" s="7"/>
      <c r="C66" s="7"/>
      <c r="D66" s="29"/>
      <c r="E66" s="163" t="s">
        <v>1151</v>
      </c>
      <c r="F66" s="29">
        <v>24</v>
      </c>
      <c r="G66" s="64">
        <f t="shared" si="8"/>
        <v>6</v>
      </c>
      <c r="J66" s="18">
        <v>0</v>
      </c>
      <c r="K66" s="30">
        <f t="shared" si="6"/>
        <v>0</v>
      </c>
      <c r="L66" s="30">
        <f t="shared" si="7"/>
        <v>0</v>
      </c>
      <c r="P66" s="23">
        <f>G66*16/100</f>
        <v>0.96</v>
      </c>
      <c r="Q66" s="24"/>
    </row>
    <row r="67" spans="1:17">
      <c r="A67" s="7"/>
      <c r="C67" s="7"/>
      <c r="D67" s="29"/>
      <c r="E67" s="163" t="s">
        <v>1152</v>
      </c>
      <c r="F67" s="29">
        <v>4</v>
      </c>
      <c r="G67" s="64">
        <f t="shared" si="8"/>
        <v>1</v>
      </c>
      <c r="J67" s="18">
        <v>0</v>
      </c>
      <c r="K67" s="30">
        <f t="shared" si="6"/>
        <v>0</v>
      </c>
      <c r="L67" s="30">
        <f t="shared" si="7"/>
        <v>0</v>
      </c>
      <c r="P67" s="23"/>
      <c r="Q67" s="24"/>
    </row>
    <row r="68" spans="1:17">
      <c r="A68" s="7"/>
      <c r="C68" s="7"/>
      <c r="D68" s="29"/>
      <c r="E68" s="163" t="s">
        <v>1204</v>
      </c>
      <c r="F68" s="29">
        <v>12.3</v>
      </c>
      <c r="G68" s="64">
        <f t="shared" si="8"/>
        <v>3.0750000000000002</v>
      </c>
      <c r="H68" s="10" t="s">
        <v>14</v>
      </c>
      <c r="I68" s="10">
        <v>5</v>
      </c>
      <c r="J68" s="13">
        <f>G69/40</f>
        <v>1.7499999999999998E-2</v>
      </c>
      <c r="K68" s="30">
        <f t="shared" si="6"/>
        <v>0.20348837209302326</v>
      </c>
      <c r="L68" s="30">
        <f t="shared" si="7"/>
        <v>1.0174418604651163</v>
      </c>
      <c r="P68" s="23"/>
      <c r="Q68" s="24"/>
    </row>
    <row r="69" spans="1:17">
      <c r="A69" s="7"/>
      <c r="C69" s="7"/>
      <c r="D69" s="29"/>
      <c r="E69" s="158" t="s">
        <v>1057</v>
      </c>
      <c r="F69" s="29">
        <v>2.8</v>
      </c>
      <c r="G69" s="64">
        <f t="shared" si="8"/>
        <v>0.7</v>
      </c>
      <c r="H69" s="10" t="s">
        <v>16</v>
      </c>
      <c r="I69" s="10">
        <v>5</v>
      </c>
      <c r="J69" s="13">
        <f>G69/7</f>
        <v>9.9999999999999992E-2</v>
      </c>
      <c r="K69" s="30">
        <f t="shared" si="6"/>
        <v>1.1627906976744187</v>
      </c>
      <c r="L69" s="30">
        <f t="shared" si="7"/>
        <v>5.8139534883720936</v>
      </c>
      <c r="P69" s="23"/>
      <c r="Q69" s="24"/>
    </row>
    <row r="70" spans="1:17">
      <c r="A70" s="7"/>
      <c r="C70" s="7"/>
      <c r="D70" s="29"/>
      <c r="E70" s="163" t="s">
        <v>1137</v>
      </c>
      <c r="F70" s="29">
        <v>1</v>
      </c>
      <c r="G70" s="64">
        <f t="shared" si="8"/>
        <v>0.25</v>
      </c>
      <c r="H70" s="10" t="s">
        <v>140</v>
      </c>
      <c r="I70" s="9">
        <v>2</v>
      </c>
      <c r="J70" s="13">
        <f>G70/8</f>
        <v>3.125E-2</v>
      </c>
      <c r="K70" s="30">
        <f t="shared" si="6"/>
        <v>0.36337209302325579</v>
      </c>
      <c r="L70" s="30">
        <f t="shared" si="7"/>
        <v>0.72674418604651159</v>
      </c>
      <c r="P70" s="23"/>
      <c r="Q70" s="21">
        <f>G70*53.8/100</f>
        <v>0.13449999999999998</v>
      </c>
    </row>
    <row r="71" spans="1:17">
      <c r="A71" s="7"/>
      <c r="C71" s="7"/>
      <c r="D71" s="29"/>
      <c r="E71" s="163" t="s">
        <v>1132</v>
      </c>
      <c r="F71" s="29">
        <v>4</v>
      </c>
      <c r="G71" s="64">
        <f t="shared" si="8"/>
        <v>1</v>
      </c>
      <c r="J71" s="18">
        <v>0</v>
      </c>
      <c r="K71" s="30">
        <f t="shared" si="6"/>
        <v>0</v>
      </c>
      <c r="L71" s="30">
        <f t="shared" si="7"/>
        <v>0</v>
      </c>
      <c r="P71" s="23"/>
      <c r="Q71" s="24">
        <v>1</v>
      </c>
    </row>
    <row r="72" spans="1:17">
      <c r="A72" s="7"/>
      <c r="C72" s="7"/>
      <c r="D72" s="29"/>
      <c r="E72" s="163" t="s">
        <v>1129</v>
      </c>
      <c r="F72" s="29">
        <v>6.5</v>
      </c>
      <c r="G72" s="64">
        <f t="shared" si="8"/>
        <v>1.625</v>
      </c>
      <c r="J72" s="18">
        <v>0</v>
      </c>
      <c r="K72" s="30">
        <f t="shared" si="6"/>
        <v>0</v>
      </c>
      <c r="L72" s="30">
        <f t="shared" si="7"/>
        <v>0</v>
      </c>
      <c r="P72" s="23"/>
      <c r="Q72" s="24">
        <v>1.6</v>
      </c>
    </row>
    <row r="73" spans="1:17">
      <c r="A73" s="7"/>
      <c r="C73" s="161" t="s">
        <v>1053</v>
      </c>
      <c r="D73" s="162" t="s">
        <v>1310</v>
      </c>
      <c r="E73" s="163" t="s">
        <v>1154</v>
      </c>
      <c r="F73" s="29">
        <v>300</v>
      </c>
      <c r="G73" s="64">
        <f t="shared" si="8"/>
        <v>75</v>
      </c>
      <c r="H73" s="10" t="s">
        <v>23</v>
      </c>
      <c r="I73" s="10">
        <v>5</v>
      </c>
      <c r="J73" s="13">
        <f>G73/70</f>
        <v>1.0714285714285714</v>
      </c>
      <c r="K73" s="30">
        <f t="shared" si="6"/>
        <v>12.458471760797343</v>
      </c>
      <c r="L73" s="30">
        <f t="shared" si="7"/>
        <v>62.292358803986716</v>
      </c>
      <c r="P73" s="23"/>
      <c r="Q73" s="24"/>
    </row>
    <row r="74" spans="1:17">
      <c r="A74" s="7"/>
      <c r="C74" s="7"/>
      <c r="D74" s="29"/>
      <c r="E74" s="163" t="s">
        <v>1116</v>
      </c>
      <c r="F74" s="29">
        <v>4.5</v>
      </c>
      <c r="G74" s="64">
        <f t="shared" si="8"/>
        <v>1.125</v>
      </c>
      <c r="H74" s="10" t="s">
        <v>14</v>
      </c>
      <c r="I74" s="10">
        <v>5</v>
      </c>
      <c r="J74" s="13">
        <f>G75/40</f>
        <v>1.7499999999999998E-2</v>
      </c>
      <c r="K74" s="30">
        <f t="shared" si="6"/>
        <v>0.20348837209302326</v>
      </c>
      <c r="L74" s="30">
        <f t="shared" si="7"/>
        <v>1.0174418604651163</v>
      </c>
      <c r="P74" s="23"/>
      <c r="Q74" s="24"/>
    </row>
    <row r="75" spans="1:17">
      <c r="A75" s="7"/>
      <c r="C75" s="7"/>
      <c r="D75" s="29"/>
      <c r="E75" s="158" t="s">
        <v>1057</v>
      </c>
      <c r="F75" s="29">
        <v>2.8</v>
      </c>
      <c r="G75" s="64">
        <f t="shared" si="8"/>
        <v>0.7</v>
      </c>
      <c r="H75" s="10" t="s">
        <v>16</v>
      </c>
      <c r="I75" s="10">
        <v>5</v>
      </c>
      <c r="J75" s="13">
        <f>G75/7</f>
        <v>9.9999999999999992E-2</v>
      </c>
      <c r="K75" s="30">
        <f t="shared" si="6"/>
        <v>1.1627906976744187</v>
      </c>
      <c r="L75" s="30">
        <f t="shared" si="7"/>
        <v>5.8139534883720936</v>
      </c>
      <c r="P75" s="23"/>
      <c r="Q75" s="24"/>
    </row>
    <row r="76" spans="1:17">
      <c r="A76" s="7"/>
      <c r="C76" s="7"/>
      <c r="D76" s="29"/>
      <c r="E76" s="157" t="s">
        <v>1155</v>
      </c>
      <c r="F76" s="29">
        <v>2</v>
      </c>
      <c r="G76" s="64">
        <f t="shared" si="8"/>
        <v>0.5</v>
      </c>
      <c r="H76" s="10" t="s">
        <v>140</v>
      </c>
      <c r="I76" s="9">
        <v>2</v>
      </c>
      <c r="J76" s="13">
        <f>G76/8</f>
        <v>6.25E-2</v>
      </c>
      <c r="K76" s="30">
        <f t="shared" si="6"/>
        <v>0.72674418604651159</v>
      </c>
      <c r="L76" s="30">
        <f t="shared" si="7"/>
        <v>1.4534883720930232</v>
      </c>
      <c r="P76" s="23"/>
      <c r="Q76" s="21">
        <f>G76*53.8/100</f>
        <v>0.26899999999999996</v>
      </c>
    </row>
    <row r="77" spans="1:17">
      <c r="A77" s="7"/>
      <c r="C77" s="7"/>
      <c r="D77" s="29"/>
      <c r="E77" s="163" t="s">
        <v>1132</v>
      </c>
      <c r="F77" s="29">
        <v>4</v>
      </c>
      <c r="G77" s="64">
        <f t="shared" si="8"/>
        <v>1</v>
      </c>
      <c r="J77" s="18">
        <v>0</v>
      </c>
      <c r="K77" s="30">
        <f t="shared" si="6"/>
        <v>0</v>
      </c>
      <c r="L77" s="30">
        <f t="shared" si="7"/>
        <v>0</v>
      </c>
      <c r="P77" s="23"/>
      <c r="Q77" s="24">
        <v>1</v>
      </c>
    </row>
    <row r="78" spans="1:17">
      <c r="A78" s="7"/>
      <c r="C78" s="7"/>
      <c r="D78" s="29"/>
      <c r="E78" s="163" t="s">
        <v>1128</v>
      </c>
      <c r="F78" s="29">
        <v>27</v>
      </c>
      <c r="G78" s="66">
        <f t="shared" si="8"/>
        <v>6.75</v>
      </c>
      <c r="J78" s="18">
        <v>0</v>
      </c>
      <c r="K78" s="30">
        <f t="shared" si="6"/>
        <v>0</v>
      </c>
      <c r="L78" s="30">
        <f t="shared" si="7"/>
        <v>0</v>
      </c>
      <c r="P78" s="20">
        <f>G78*24/100</f>
        <v>1.62</v>
      </c>
      <c r="Q78" s="24"/>
    </row>
    <row r="79" spans="1:17">
      <c r="A79" s="7"/>
      <c r="C79" s="161" t="s">
        <v>1054</v>
      </c>
      <c r="D79" s="162" t="s">
        <v>1310</v>
      </c>
      <c r="E79" s="163" t="s">
        <v>1156</v>
      </c>
      <c r="F79" s="29">
        <v>1000</v>
      </c>
      <c r="G79" s="64">
        <f>F79/12</f>
        <v>83.333333333333329</v>
      </c>
      <c r="H79" s="10" t="s">
        <v>23</v>
      </c>
      <c r="I79" s="10">
        <v>5</v>
      </c>
      <c r="J79" s="13">
        <f>G79/70</f>
        <v>1.1904761904761905</v>
      </c>
      <c r="K79" s="30">
        <f t="shared" si="6"/>
        <v>13.842746400885936</v>
      </c>
      <c r="L79" s="30">
        <f t="shared" si="7"/>
        <v>69.213732004429687</v>
      </c>
      <c r="P79" s="23"/>
      <c r="Q79" s="24"/>
    </row>
    <row r="80" spans="1:17">
      <c r="D80" s="29"/>
      <c r="E80" s="163" t="s">
        <v>1133</v>
      </c>
      <c r="F80" s="29">
        <v>42</v>
      </c>
      <c r="G80" s="64">
        <f t="shared" ref="G80:G89" si="9">F80/12</f>
        <v>3.5</v>
      </c>
      <c r="J80" s="18">
        <v>0</v>
      </c>
      <c r="K80" s="30">
        <f t="shared" si="6"/>
        <v>0</v>
      </c>
      <c r="L80" s="30">
        <f t="shared" si="7"/>
        <v>0</v>
      </c>
      <c r="P80" s="23">
        <v>3.5</v>
      </c>
      <c r="Q80" s="24"/>
    </row>
    <row r="81" spans="1:17">
      <c r="E81" s="163" t="s">
        <v>1157</v>
      </c>
      <c r="F81" s="29">
        <v>25</v>
      </c>
      <c r="G81" s="64">
        <f t="shared" si="9"/>
        <v>2.0833333333333335</v>
      </c>
      <c r="H81" s="10" t="s">
        <v>14</v>
      </c>
      <c r="I81" s="10">
        <v>5</v>
      </c>
      <c r="J81" s="13">
        <f>G82/40</f>
        <v>3.125E-2</v>
      </c>
      <c r="K81" s="30">
        <f t="shared" si="6"/>
        <v>0.36337209302325579</v>
      </c>
      <c r="L81" s="30">
        <f t="shared" si="7"/>
        <v>1.816860465116279</v>
      </c>
    </row>
    <row r="82" spans="1:17">
      <c r="E82" s="163" t="s">
        <v>1123</v>
      </c>
      <c r="F82" s="29">
        <v>15</v>
      </c>
      <c r="G82" s="64">
        <f t="shared" si="9"/>
        <v>1.25</v>
      </c>
      <c r="H82" s="10" t="s">
        <v>23</v>
      </c>
      <c r="I82" s="10">
        <v>5</v>
      </c>
      <c r="J82" s="13">
        <f>G82/70</f>
        <v>1.7857142857142856E-2</v>
      </c>
      <c r="K82" s="30">
        <f t="shared" si="6"/>
        <v>0.20764119601328906</v>
      </c>
      <c r="L82" s="30">
        <f t="shared" si="7"/>
        <v>1.0382059800664454</v>
      </c>
    </row>
    <row r="83" spans="1:17">
      <c r="E83" s="163" t="s">
        <v>1124</v>
      </c>
      <c r="F83" s="29">
        <v>60</v>
      </c>
      <c r="G83" s="64">
        <f t="shared" si="9"/>
        <v>5</v>
      </c>
      <c r="H83" s="10" t="s">
        <v>23</v>
      </c>
      <c r="I83" s="10">
        <v>5</v>
      </c>
      <c r="J83" s="13">
        <f>G83/70</f>
        <v>7.1428571428571425E-2</v>
      </c>
      <c r="K83" s="30">
        <f t="shared" si="6"/>
        <v>0.83056478405315626</v>
      </c>
      <c r="L83" s="30">
        <f t="shared" si="7"/>
        <v>4.1528239202657815</v>
      </c>
    </row>
    <row r="84" spans="1:17">
      <c r="E84" s="163" t="s">
        <v>1158</v>
      </c>
      <c r="F84" s="29">
        <v>7</v>
      </c>
      <c r="G84" s="64">
        <f t="shared" si="9"/>
        <v>0.58333333333333337</v>
      </c>
      <c r="H84" s="10" t="s">
        <v>15</v>
      </c>
      <c r="I84" s="10">
        <v>2</v>
      </c>
      <c r="J84" s="18">
        <f>G84/30</f>
        <v>1.9444444444444445E-2</v>
      </c>
      <c r="K84" s="30">
        <f t="shared" si="6"/>
        <v>0.22609819121447031</v>
      </c>
      <c r="L84" s="30">
        <f t="shared" si="7"/>
        <v>0.45219638242894061</v>
      </c>
    </row>
    <row r="85" spans="1:17">
      <c r="E85" s="163" t="s">
        <v>1146</v>
      </c>
      <c r="F85" s="29">
        <v>22.5</v>
      </c>
      <c r="G85" s="64">
        <f t="shared" si="9"/>
        <v>1.875</v>
      </c>
      <c r="J85" s="18">
        <v>0</v>
      </c>
      <c r="K85" s="30">
        <f t="shared" si="6"/>
        <v>0</v>
      </c>
      <c r="L85" s="30">
        <f t="shared" si="7"/>
        <v>0</v>
      </c>
      <c r="P85" s="20">
        <f>G85*22/100</f>
        <v>0.41249999999999998</v>
      </c>
    </row>
    <row r="86" spans="1:17">
      <c r="E86" s="163" t="s">
        <v>1152</v>
      </c>
      <c r="F86" s="29">
        <v>6</v>
      </c>
      <c r="G86" s="64">
        <f t="shared" si="9"/>
        <v>0.5</v>
      </c>
      <c r="J86" s="18">
        <v>0</v>
      </c>
      <c r="K86" s="30">
        <f t="shared" si="6"/>
        <v>0</v>
      </c>
      <c r="L86" s="30">
        <f t="shared" si="7"/>
        <v>0</v>
      </c>
    </row>
    <row r="87" spans="1:17">
      <c r="E87" s="163" t="s">
        <v>1145</v>
      </c>
      <c r="F87" s="29">
        <v>21</v>
      </c>
      <c r="G87" s="64">
        <f t="shared" si="9"/>
        <v>1.75</v>
      </c>
      <c r="H87" s="10" t="s">
        <v>23</v>
      </c>
      <c r="I87" s="10">
        <v>5</v>
      </c>
      <c r="J87" s="18">
        <v>0</v>
      </c>
      <c r="K87" s="30">
        <f t="shared" si="6"/>
        <v>0</v>
      </c>
      <c r="L87" s="30">
        <f t="shared" si="7"/>
        <v>0</v>
      </c>
    </row>
    <row r="88" spans="1:17">
      <c r="E88" s="158" t="s">
        <v>1057</v>
      </c>
      <c r="F88" s="29">
        <v>16</v>
      </c>
      <c r="G88" s="64">
        <f t="shared" si="9"/>
        <v>1.3333333333333333</v>
      </c>
      <c r="H88" s="10" t="s">
        <v>16</v>
      </c>
      <c r="I88" s="10">
        <v>5</v>
      </c>
      <c r="J88" s="13">
        <f>G88/7</f>
        <v>0.19047619047619047</v>
      </c>
      <c r="K88" s="30">
        <f t="shared" si="6"/>
        <v>2.2148394241417497</v>
      </c>
      <c r="L88" s="30">
        <f t="shared" si="7"/>
        <v>11.07419712070875</v>
      </c>
    </row>
    <row r="89" spans="1:17">
      <c r="E89" s="163" t="s">
        <v>1144</v>
      </c>
      <c r="F89" s="29">
        <v>4</v>
      </c>
      <c r="G89" s="64">
        <f t="shared" si="9"/>
        <v>0.33333333333333331</v>
      </c>
      <c r="H89" s="10" t="s">
        <v>23</v>
      </c>
      <c r="I89" s="10">
        <v>5</v>
      </c>
      <c r="J89" s="13">
        <f>G89/34</f>
        <v>9.8039215686274508E-3</v>
      </c>
      <c r="K89" s="30">
        <f t="shared" si="6"/>
        <v>0.11399908800729594</v>
      </c>
      <c r="L89" s="30">
        <f>K89*I89</f>
        <v>0.56999544003647973</v>
      </c>
    </row>
    <row r="90" spans="1:17" ht="17.25" thickBot="1">
      <c r="A90" s="37"/>
      <c r="B90" s="37"/>
      <c r="C90" s="37"/>
      <c r="D90" s="40"/>
      <c r="E90" s="165"/>
      <c r="F90" s="37"/>
      <c r="G90" s="68">
        <f>SUM(G79:G89)</f>
        <v>101.54166666666664</v>
      </c>
      <c r="H90" s="37"/>
      <c r="I90" s="39"/>
      <c r="J90" s="26">
        <f>SUM(J46:J89)</f>
        <v>8.6046879264526304</v>
      </c>
      <c r="K90" s="38">
        <f>SUM(K46:K89)</f>
        <v>100.05451077270503</v>
      </c>
      <c r="L90" s="38"/>
      <c r="M90" s="38">
        <f>SUM(L46:L89)</f>
        <v>338.52991181565062</v>
      </c>
      <c r="N90" s="37" t="s">
        <v>36</v>
      </c>
      <c r="O90" s="37" t="s">
        <v>13</v>
      </c>
      <c r="P90" s="27">
        <f>SUM(P46:P89)</f>
        <v>8.5924999999999994</v>
      </c>
      <c r="Q90" s="28">
        <f>SUM(Q46:Q89)</f>
        <v>10.172500000000001</v>
      </c>
    </row>
    <row r="92" spans="1:17">
      <c r="A92" s="7">
        <v>3</v>
      </c>
      <c r="B92" s="7" t="s">
        <v>41</v>
      </c>
      <c r="C92" s="7" t="s">
        <v>1081</v>
      </c>
      <c r="E92" s="163" t="s">
        <v>1159</v>
      </c>
      <c r="G92" s="64">
        <v>30</v>
      </c>
      <c r="H92" s="10" t="s">
        <v>25</v>
      </c>
      <c r="I92" s="10">
        <v>4</v>
      </c>
      <c r="J92" s="13">
        <f>G92/30</f>
        <v>1</v>
      </c>
      <c r="K92" s="30">
        <f>J92/9.09*100</f>
        <v>11.001100110011002</v>
      </c>
      <c r="L92" s="30">
        <f>K92*I92</f>
        <v>44.004400440044009</v>
      </c>
    </row>
    <row r="93" spans="1:17">
      <c r="A93" s="7"/>
      <c r="B93" s="7"/>
      <c r="C93" s="7"/>
      <c r="E93" s="163" t="s">
        <v>1114</v>
      </c>
      <c r="G93" s="64">
        <v>60</v>
      </c>
      <c r="H93" s="10" t="s">
        <v>15</v>
      </c>
      <c r="I93" s="10">
        <v>2</v>
      </c>
      <c r="J93" s="13">
        <f>G93/30</f>
        <v>2</v>
      </c>
      <c r="K93" s="30">
        <f t="shared" ref="K93:K115" si="10">J93/9.09*100</f>
        <v>22.002200220022004</v>
      </c>
      <c r="L93" s="30">
        <f t="shared" ref="L93:L115" si="11">K93*I93</f>
        <v>44.004400440044009</v>
      </c>
    </row>
    <row r="94" spans="1:17">
      <c r="C94" s="7" t="s">
        <v>1082</v>
      </c>
      <c r="E94" s="161" t="s">
        <v>1055</v>
      </c>
      <c r="G94" s="64">
        <v>80</v>
      </c>
      <c r="H94" s="10" t="s">
        <v>17</v>
      </c>
      <c r="I94" s="10">
        <v>1</v>
      </c>
      <c r="J94" s="18">
        <f>G94/40</f>
        <v>2</v>
      </c>
      <c r="K94" s="30">
        <f t="shared" si="10"/>
        <v>22.002200220022004</v>
      </c>
      <c r="L94" s="30">
        <f t="shared" si="11"/>
        <v>22.002200220022004</v>
      </c>
    </row>
    <row r="95" spans="1:17">
      <c r="C95" s="161" t="s">
        <v>1056</v>
      </c>
      <c r="E95" s="161" t="s">
        <v>1056</v>
      </c>
      <c r="G95" s="64">
        <v>35</v>
      </c>
      <c r="H95" s="10" t="s">
        <v>56</v>
      </c>
      <c r="I95" s="9">
        <v>5</v>
      </c>
      <c r="J95" s="18">
        <f>G95/70</f>
        <v>0.5</v>
      </c>
      <c r="K95" s="30">
        <f t="shared" si="10"/>
        <v>5.5005500550055011</v>
      </c>
      <c r="L95" s="30">
        <f t="shared" si="11"/>
        <v>27.502750275027505</v>
      </c>
    </row>
    <row r="96" spans="1:17">
      <c r="C96" s="161" t="s">
        <v>1057</v>
      </c>
      <c r="E96" s="158" t="s">
        <v>1057</v>
      </c>
      <c r="G96" s="64">
        <v>7</v>
      </c>
      <c r="H96" s="10" t="s">
        <v>16</v>
      </c>
      <c r="I96" s="10">
        <v>5</v>
      </c>
      <c r="J96" s="18">
        <f>G96/7</f>
        <v>1</v>
      </c>
      <c r="K96" s="30">
        <f t="shared" si="10"/>
        <v>11.001100110011002</v>
      </c>
      <c r="L96" s="30">
        <f t="shared" si="11"/>
        <v>55.005500550055011</v>
      </c>
    </row>
    <row r="97" spans="3:17">
      <c r="C97" s="161" t="s">
        <v>1058</v>
      </c>
      <c r="E97" s="161" t="s">
        <v>1058</v>
      </c>
      <c r="G97" s="64">
        <v>10</v>
      </c>
      <c r="H97" s="10" t="s">
        <v>23</v>
      </c>
      <c r="I97" s="10">
        <v>5</v>
      </c>
      <c r="J97" s="18">
        <f>G97/40</f>
        <v>0.25</v>
      </c>
      <c r="K97" s="30">
        <f t="shared" si="10"/>
        <v>2.7502750275027505</v>
      </c>
      <c r="L97" s="30">
        <f t="shared" si="11"/>
        <v>13.751375137513753</v>
      </c>
    </row>
    <row r="98" spans="3:17">
      <c r="C98" s="161" t="s">
        <v>1123</v>
      </c>
      <c r="E98" s="161" t="s">
        <v>1123</v>
      </c>
      <c r="G98" s="64">
        <v>10</v>
      </c>
      <c r="H98" s="10" t="s">
        <v>23</v>
      </c>
      <c r="I98" s="10">
        <v>5</v>
      </c>
      <c r="J98" s="18">
        <f>G98/70</f>
        <v>0.14285714285714285</v>
      </c>
      <c r="K98" s="30">
        <f t="shared" si="10"/>
        <v>1.5715857300015716</v>
      </c>
      <c r="L98" s="30">
        <f t="shared" si="11"/>
        <v>7.8579286500078585</v>
      </c>
    </row>
    <row r="99" spans="3:17">
      <c r="C99" s="161" t="s">
        <v>1060</v>
      </c>
      <c r="E99" s="161" t="s">
        <v>1127</v>
      </c>
      <c r="G99" s="64">
        <v>6</v>
      </c>
      <c r="H99" s="10" t="s">
        <v>20</v>
      </c>
      <c r="I99" s="10">
        <v>4</v>
      </c>
      <c r="J99" s="18">
        <v>0</v>
      </c>
      <c r="K99" s="30">
        <f t="shared" si="10"/>
        <v>0</v>
      </c>
      <c r="L99" s="30">
        <f t="shared" si="11"/>
        <v>0</v>
      </c>
      <c r="P99" s="41">
        <f>G99*11/100</f>
        <v>0.66</v>
      </c>
    </row>
    <row r="100" spans="3:17">
      <c r="C100" s="7"/>
      <c r="E100" s="161" t="s">
        <v>1160</v>
      </c>
      <c r="G100" s="64">
        <v>4</v>
      </c>
      <c r="J100" s="18">
        <v>0</v>
      </c>
      <c r="K100" s="30">
        <f t="shared" si="10"/>
        <v>0</v>
      </c>
      <c r="L100" s="30">
        <f t="shared" si="11"/>
        <v>0</v>
      </c>
      <c r="P100" s="20">
        <f>G100*7/100</f>
        <v>0.28000000000000003</v>
      </c>
    </row>
    <row r="101" spans="3:17">
      <c r="C101" s="7"/>
      <c r="E101" s="158" t="s">
        <v>1057</v>
      </c>
      <c r="G101" s="64">
        <v>2</v>
      </c>
      <c r="H101" s="10" t="s">
        <v>16</v>
      </c>
      <c r="I101" s="10">
        <v>5</v>
      </c>
      <c r="J101" s="13">
        <f>G101/7</f>
        <v>0.2857142857142857</v>
      </c>
      <c r="K101" s="30">
        <f t="shared" si="10"/>
        <v>3.1431714600031433</v>
      </c>
      <c r="L101" s="30">
        <f t="shared" si="11"/>
        <v>15.715857300015717</v>
      </c>
      <c r="N101" s="30"/>
    </row>
    <row r="102" spans="3:17">
      <c r="C102" s="7"/>
      <c r="E102" s="161" t="s">
        <v>1132</v>
      </c>
      <c r="G102" s="64">
        <v>2.5</v>
      </c>
      <c r="J102" s="18">
        <v>0</v>
      </c>
      <c r="K102" s="30">
        <f t="shared" si="10"/>
        <v>0</v>
      </c>
      <c r="L102" s="30">
        <f t="shared" si="11"/>
        <v>0</v>
      </c>
      <c r="Q102" s="21">
        <v>2.5</v>
      </c>
    </row>
    <row r="103" spans="3:17">
      <c r="C103" s="163" t="s">
        <v>1049</v>
      </c>
      <c r="D103" s="162" t="s">
        <v>1310</v>
      </c>
      <c r="E103" s="162" t="s">
        <v>1138</v>
      </c>
      <c r="F103" s="31">
        <v>4800</v>
      </c>
      <c r="G103" s="66">
        <f>F103/60</f>
        <v>80</v>
      </c>
      <c r="H103" s="10" t="s">
        <v>91</v>
      </c>
      <c r="I103" s="9">
        <v>5</v>
      </c>
      <c r="J103" s="13">
        <f>G103/70</f>
        <v>1.1428571428571428</v>
      </c>
      <c r="K103" s="30">
        <f t="shared" si="10"/>
        <v>12.572685840012573</v>
      </c>
      <c r="L103" s="30">
        <f t="shared" si="11"/>
        <v>62.863429200062868</v>
      </c>
    </row>
    <row r="104" spans="3:17">
      <c r="E104" s="158" t="s">
        <v>1139</v>
      </c>
      <c r="F104" s="31">
        <v>1000</v>
      </c>
      <c r="G104" s="66">
        <f t="shared" ref="G104:G111" si="12">F104/60</f>
        <v>16.666666666666668</v>
      </c>
      <c r="H104" s="10" t="s">
        <v>23</v>
      </c>
      <c r="I104" s="10">
        <v>5</v>
      </c>
      <c r="J104" s="13">
        <f>G104/70</f>
        <v>0.23809523809523811</v>
      </c>
      <c r="K104" s="30">
        <f t="shared" si="10"/>
        <v>2.6193095500026193</v>
      </c>
      <c r="L104" s="30">
        <f t="shared" si="11"/>
        <v>13.096547750013096</v>
      </c>
    </row>
    <row r="105" spans="3:17">
      <c r="E105" s="162" t="s">
        <v>1140</v>
      </c>
      <c r="F105" s="31">
        <v>100</v>
      </c>
      <c r="G105" s="66">
        <f t="shared" si="12"/>
        <v>1.6666666666666667</v>
      </c>
      <c r="H105" s="10" t="s">
        <v>23</v>
      </c>
      <c r="I105" s="10">
        <v>5</v>
      </c>
      <c r="J105" s="13">
        <f>G105/70</f>
        <v>2.3809523809523812E-2</v>
      </c>
      <c r="K105" s="30">
        <f t="shared" si="10"/>
        <v>0.26193095500026198</v>
      </c>
      <c r="L105" s="30">
        <f t="shared" si="11"/>
        <v>1.3096547750013099</v>
      </c>
    </row>
    <row r="106" spans="3:17">
      <c r="E106" s="162" t="s">
        <v>1277</v>
      </c>
      <c r="F106" s="31">
        <v>200</v>
      </c>
      <c r="G106" s="66">
        <f t="shared" si="12"/>
        <v>3.3333333333333335</v>
      </c>
      <c r="H106" s="10" t="s">
        <v>14</v>
      </c>
      <c r="I106" s="10">
        <v>5</v>
      </c>
      <c r="J106" s="13">
        <f>G106/40</f>
        <v>8.3333333333333343E-2</v>
      </c>
      <c r="K106" s="30">
        <f t="shared" si="10"/>
        <v>0.91675834250091681</v>
      </c>
      <c r="L106" s="30">
        <f t="shared" si="11"/>
        <v>4.5837917125045839</v>
      </c>
    </row>
    <row r="107" spans="3:17">
      <c r="E107" s="162" t="s">
        <v>1142</v>
      </c>
      <c r="F107" s="31">
        <v>200</v>
      </c>
      <c r="G107" s="66">
        <f t="shared" si="12"/>
        <v>3.3333333333333335</v>
      </c>
      <c r="H107" s="10" t="s">
        <v>23</v>
      </c>
      <c r="I107" s="10">
        <v>5</v>
      </c>
      <c r="J107" s="13">
        <f>G107/40</f>
        <v>8.3333333333333343E-2</v>
      </c>
      <c r="K107" s="30">
        <f t="shared" si="10"/>
        <v>0.91675834250091681</v>
      </c>
      <c r="L107" s="30">
        <f t="shared" si="11"/>
        <v>4.5837917125045839</v>
      </c>
    </row>
    <row r="108" spans="3:17">
      <c r="E108" s="162" t="s">
        <v>1143</v>
      </c>
      <c r="F108" s="31">
        <v>200</v>
      </c>
      <c r="G108" s="66">
        <f t="shared" si="12"/>
        <v>3.3333333333333335</v>
      </c>
      <c r="H108" s="10" t="s">
        <v>21</v>
      </c>
      <c r="I108" s="10">
        <v>4</v>
      </c>
      <c r="J108" s="13">
        <v>0.05</v>
      </c>
      <c r="K108" s="30">
        <f t="shared" si="10"/>
        <v>0.55005500550055009</v>
      </c>
      <c r="L108" s="30">
        <f t="shared" si="11"/>
        <v>2.2002200220022003</v>
      </c>
    </row>
    <row r="109" spans="3:17">
      <c r="E109" s="162" t="s">
        <v>1116</v>
      </c>
      <c r="F109" s="31">
        <v>200</v>
      </c>
      <c r="G109" s="66">
        <f t="shared" si="12"/>
        <v>3.3333333333333335</v>
      </c>
      <c r="H109" s="10" t="s">
        <v>14</v>
      </c>
      <c r="I109" s="10">
        <v>5</v>
      </c>
      <c r="J109" s="13">
        <f>G109/40</f>
        <v>8.3333333333333343E-2</v>
      </c>
      <c r="K109" s="30">
        <f t="shared" si="10"/>
        <v>0.91675834250091681</v>
      </c>
      <c r="L109" s="30">
        <f t="shared" si="11"/>
        <v>4.5837917125045839</v>
      </c>
    </row>
    <row r="110" spans="3:17">
      <c r="E110" s="158" t="s">
        <v>1057</v>
      </c>
      <c r="F110" s="31">
        <v>80</v>
      </c>
      <c r="G110" s="66">
        <f t="shared" si="12"/>
        <v>1.3333333333333333</v>
      </c>
      <c r="H110" s="10" t="s">
        <v>16</v>
      </c>
      <c r="I110" s="10">
        <v>5</v>
      </c>
      <c r="J110" s="13">
        <f>G110/7</f>
        <v>0.19047619047619047</v>
      </c>
      <c r="K110" s="30">
        <f t="shared" si="10"/>
        <v>2.0954476400020954</v>
      </c>
      <c r="L110" s="30">
        <f t="shared" si="11"/>
        <v>10.477238200010477</v>
      </c>
    </row>
    <row r="111" spans="3:17">
      <c r="E111" s="162" t="s">
        <v>1144</v>
      </c>
      <c r="F111" s="31">
        <v>36</v>
      </c>
      <c r="G111" s="66">
        <f t="shared" si="12"/>
        <v>0.6</v>
      </c>
      <c r="H111" s="10" t="s">
        <v>23</v>
      </c>
      <c r="I111" s="10">
        <v>5</v>
      </c>
      <c r="J111" s="13">
        <f>G111/34</f>
        <v>1.7647058823529412E-2</v>
      </c>
      <c r="K111" s="30">
        <f t="shared" si="10"/>
        <v>0.1941370607649</v>
      </c>
      <c r="L111" s="30">
        <f t="shared" si="11"/>
        <v>0.97068530382450002</v>
      </c>
    </row>
    <row r="112" spans="3:17">
      <c r="E112" s="162" t="s">
        <v>1145</v>
      </c>
      <c r="F112" s="31">
        <v>130</v>
      </c>
      <c r="G112" s="66">
        <f>F112/60</f>
        <v>2.1666666666666665</v>
      </c>
      <c r="H112" s="10" t="s">
        <v>23</v>
      </c>
      <c r="I112" s="10">
        <v>5</v>
      </c>
      <c r="J112" s="13">
        <v>0</v>
      </c>
      <c r="K112" s="30">
        <f t="shared" si="10"/>
        <v>0</v>
      </c>
      <c r="L112" s="30">
        <f t="shared" si="11"/>
        <v>0</v>
      </c>
    </row>
    <row r="113" spans="1:19">
      <c r="E113" s="164" t="s">
        <v>1133</v>
      </c>
      <c r="F113" s="31"/>
      <c r="G113" s="66">
        <v>0.7</v>
      </c>
      <c r="J113" s="18">
        <v>0</v>
      </c>
      <c r="K113" s="30">
        <f t="shared" si="10"/>
        <v>0</v>
      </c>
      <c r="L113" s="30">
        <f t="shared" si="11"/>
        <v>0</v>
      </c>
      <c r="P113" s="20">
        <v>0.7</v>
      </c>
    </row>
    <row r="114" spans="1:19">
      <c r="E114" s="162" t="s">
        <v>1146</v>
      </c>
      <c r="F114" s="31">
        <v>100</v>
      </c>
      <c r="G114" s="66">
        <f>F114/60</f>
        <v>1.6666666666666667</v>
      </c>
      <c r="J114" s="18">
        <v>0</v>
      </c>
      <c r="K114" s="30">
        <f t="shared" si="10"/>
        <v>0</v>
      </c>
      <c r="L114" s="30">
        <f t="shared" si="11"/>
        <v>0</v>
      </c>
      <c r="P114" s="20">
        <f>G114*22/100</f>
        <v>0.3666666666666667</v>
      </c>
    </row>
    <row r="115" spans="1:19">
      <c r="E115" s="162" t="s">
        <v>1147</v>
      </c>
      <c r="F115" s="31">
        <v>100</v>
      </c>
      <c r="G115" s="66">
        <f>F115/60</f>
        <v>1.6666666666666667</v>
      </c>
      <c r="J115" s="18">
        <v>0</v>
      </c>
      <c r="K115" s="30">
        <f t="shared" si="10"/>
        <v>0</v>
      </c>
      <c r="L115" s="30">
        <f t="shared" si="11"/>
        <v>0</v>
      </c>
      <c r="P115" s="20">
        <f>5*G115/100</f>
        <v>8.3333333333333343E-2</v>
      </c>
    </row>
    <row r="116" spans="1:19" ht="17.25" thickBot="1">
      <c r="A116" s="37"/>
      <c r="B116" s="37"/>
      <c r="C116" s="37"/>
      <c r="D116" s="40"/>
      <c r="E116" s="165"/>
      <c r="F116" s="37"/>
      <c r="G116" s="68"/>
      <c r="H116" s="37"/>
      <c r="I116" s="39"/>
      <c r="J116" s="26">
        <f>SUM(J92:J115)</f>
        <v>9.0914565826330538</v>
      </c>
      <c r="K116" s="38">
        <f t="shared" ref="K116" si="13">J116/9.04*100</f>
        <v>100.56920998487892</v>
      </c>
      <c r="L116" s="38"/>
      <c r="M116" s="38">
        <f>SUM(L92:L115)</f>
        <v>334.51356340115814</v>
      </c>
      <c r="N116" s="37" t="s">
        <v>36</v>
      </c>
      <c r="O116" s="37" t="s">
        <v>13</v>
      </c>
      <c r="P116" s="27">
        <f>SUM(P92:P115)</f>
        <v>2.0900000000000003</v>
      </c>
      <c r="Q116" s="28">
        <f>SUM(Q92:Q115)</f>
        <v>2.5</v>
      </c>
    </row>
    <row r="118" spans="1:19">
      <c r="A118" s="29">
        <v>4</v>
      </c>
      <c r="B118" s="7" t="s">
        <v>40</v>
      </c>
      <c r="C118" s="163" t="s">
        <v>1161</v>
      </c>
      <c r="E118" s="163" t="s">
        <v>1161</v>
      </c>
      <c r="G118" s="64">
        <v>30</v>
      </c>
      <c r="H118" s="10" t="s">
        <v>25</v>
      </c>
      <c r="I118" s="10">
        <v>4</v>
      </c>
      <c r="J118" s="13">
        <v>1</v>
      </c>
      <c r="K118" s="30">
        <f>J118/23.17*100</f>
        <v>4.3159257660768233</v>
      </c>
      <c r="L118" s="30">
        <f t="shared" ref="L118:L166" si="14">K118*I118</f>
        <v>17.263703064307293</v>
      </c>
    </row>
    <row r="119" spans="1:19">
      <c r="B119" s="7"/>
      <c r="C119" s="7"/>
      <c r="E119" s="163" t="s">
        <v>1114</v>
      </c>
      <c r="G119" s="64">
        <v>60</v>
      </c>
      <c r="H119" s="10" t="s">
        <v>15</v>
      </c>
      <c r="I119" s="10">
        <v>2</v>
      </c>
      <c r="J119" s="13">
        <v>2</v>
      </c>
      <c r="K119" s="30">
        <f t="shared" ref="K119:K166" si="15">J119/23.17*100</f>
        <v>8.6318515321536466</v>
      </c>
      <c r="L119" s="30">
        <f t="shared" si="14"/>
        <v>17.263703064307293</v>
      </c>
    </row>
    <row r="120" spans="1:19">
      <c r="C120" s="166" t="s">
        <v>1061</v>
      </c>
      <c r="D120" s="162" t="s">
        <v>1310</v>
      </c>
      <c r="E120" s="163" t="s">
        <v>1049</v>
      </c>
      <c r="F120" s="32">
        <v>280</v>
      </c>
      <c r="G120" s="64">
        <f t="shared" ref="G120:G139" si="16">F120/4</f>
        <v>70</v>
      </c>
      <c r="H120" s="10" t="s">
        <v>22</v>
      </c>
      <c r="I120" s="10">
        <v>5</v>
      </c>
      <c r="J120" s="13">
        <f>G120/70</f>
        <v>1</v>
      </c>
      <c r="K120" s="30">
        <f t="shared" si="15"/>
        <v>4.3159257660768233</v>
      </c>
      <c r="L120" s="30">
        <f>K120*I120</f>
        <v>21.579628830384117</v>
      </c>
    </row>
    <row r="121" spans="1:19">
      <c r="A121" s="7"/>
      <c r="B121" s="7"/>
      <c r="E121" s="158" t="s">
        <v>1139</v>
      </c>
      <c r="F121" s="32">
        <v>58.333333333333336</v>
      </c>
      <c r="G121" s="64">
        <f t="shared" si="16"/>
        <v>14.583333333333334</v>
      </c>
      <c r="H121" s="10" t="s">
        <v>23</v>
      </c>
      <c r="I121" s="10">
        <v>5</v>
      </c>
      <c r="J121" s="13">
        <f>G121/70</f>
        <v>0.20833333333333334</v>
      </c>
      <c r="K121" s="30">
        <f t="shared" si="15"/>
        <v>0.8991512012660049</v>
      </c>
      <c r="L121" s="30">
        <f t="shared" si="14"/>
        <v>4.4957560063300246</v>
      </c>
      <c r="R121" s="7"/>
      <c r="S121" s="7"/>
    </row>
    <row r="122" spans="1:19">
      <c r="A122" s="7"/>
      <c r="B122" s="7"/>
      <c r="E122" s="162" t="s">
        <v>1140</v>
      </c>
      <c r="F122" s="32">
        <v>5.8333333333333339</v>
      </c>
      <c r="G122" s="64">
        <f t="shared" si="16"/>
        <v>1.4583333333333335</v>
      </c>
      <c r="H122" s="10" t="s">
        <v>23</v>
      </c>
      <c r="I122" s="10">
        <v>5</v>
      </c>
      <c r="J122" s="13">
        <f>G122/70</f>
        <v>2.0833333333333336E-2</v>
      </c>
      <c r="K122" s="30">
        <f t="shared" si="15"/>
        <v>8.9915120126600495E-2</v>
      </c>
      <c r="L122" s="30">
        <f t="shared" si="14"/>
        <v>0.4495756006330025</v>
      </c>
      <c r="R122" s="7"/>
      <c r="S122" s="7"/>
    </row>
    <row r="123" spans="1:19">
      <c r="A123" s="7"/>
      <c r="B123" s="7"/>
      <c r="E123" s="162" t="s">
        <v>1277</v>
      </c>
      <c r="F123" s="32">
        <v>11.666666666666668</v>
      </c>
      <c r="G123" s="64">
        <f t="shared" si="16"/>
        <v>2.916666666666667</v>
      </c>
      <c r="H123" s="10" t="s">
        <v>14</v>
      </c>
      <c r="I123" s="10">
        <v>5</v>
      </c>
      <c r="J123" s="13">
        <f>G124/40</f>
        <v>7.2916666666666671E-2</v>
      </c>
      <c r="K123" s="30">
        <f t="shared" si="15"/>
        <v>0.31470292044310172</v>
      </c>
      <c r="L123" s="30">
        <f t="shared" si="14"/>
        <v>1.5735146022155087</v>
      </c>
      <c r="R123" s="7"/>
      <c r="S123" s="7"/>
    </row>
    <row r="124" spans="1:19">
      <c r="E124" s="162" t="s">
        <v>1142</v>
      </c>
      <c r="F124" s="32">
        <v>11.666666666666668</v>
      </c>
      <c r="G124" s="64">
        <f t="shared" si="16"/>
        <v>2.916666666666667</v>
      </c>
      <c r="H124" s="10" t="s">
        <v>23</v>
      </c>
      <c r="I124" s="10">
        <v>5</v>
      </c>
      <c r="J124" s="13">
        <f>G125/40</f>
        <v>7.2916666666666671E-2</v>
      </c>
      <c r="K124" s="30">
        <f t="shared" si="15"/>
        <v>0.31470292044310172</v>
      </c>
      <c r="L124" s="30">
        <f t="shared" si="14"/>
        <v>1.5735146022155087</v>
      </c>
      <c r="R124" s="7"/>
      <c r="S124" s="7"/>
    </row>
    <row r="125" spans="1:19">
      <c r="E125" s="162" t="s">
        <v>1143</v>
      </c>
      <c r="F125" s="32">
        <v>11.666666666666668</v>
      </c>
      <c r="G125" s="64">
        <f t="shared" si="16"/>
        <v>2.916666666666667</v>
      </c>
      <c r="H125" s="10" t="s">
        <v>21</v>
      </c>
      <c r="I125" s="10">
        <v>4</v>
      </c>
      <c r="J125" s="13">
        <v>0.05</v>
      </c>
      <c r="K125" s="30">
        <f t="shared" si="15"/>
        <v>0.21579628830384118</v>
      </c>
      <c r="L125" s="30">
        <f t="shared" si="14"/>
        <v>0.86318515321536471</v>
      </c>
    </row>
    <row r="126" spans="1:19">
      <c r="E126" s="162" t="s">
        <v>1116</v>
      </c>
      <c r="F126" s="32">
        <v>11.666666666666668</v>
      </c>
      <c r="G126" s="64">
        <f t="shared" si="16"/>
        <v>2.916666666666667</v>
      </c>
      <c r="H126" s="10" t="s">
        <v>14</v>
      </c>
      <c r="I126" s="10">
        <v>5</v>
      </c>
      <c r="J126" s="13">
        <f>G127/40</f>
        <v>2.9166666666666664E-2</v>
      </c>
      <c r="K126" s="30">
        <f t="shared" si="15"/>
        <v>0.12588116817724065</v>
      </c>
      <c r="L126" s="30">
        <f t="shared" si="14"/>
        <v>0.62940584088620333</v>
      </c>
    </row>
    <row r="127" spans="1:19">
      <c r="C127" s="163"/>
      <c r="E127" s="158" t="s">
        <v>1057</v>
      </c>
      <c r="F127" s="32">
        <v>4.6666666666666661</v>
      </c>
      <c r="G127" s="64">
        <f t="shared" si="16"/>
        <v>1.1666666666666665</v>
      </c>
      <c r="H127" s="10" t="s">
        <v>16</v>
      </c>
      <c r="I127" s="10">
        <v>5</v>
      </c>
      <c r="J127" s="13">
        <f>G127/7</f>
        <v>0.16666666666666666</v>
      </c>
      <c r="K127" s="30">
        <f t="shared" si="15"/>
        <v>0.71932096101280385</v>
      </c>
      <c r="L127" s="30">
        <f t="shared" si="14"/>
        <v>3.5966048050640191</v>
      </c>
    </row>
    <row r="128" spans="1:19">
      <c r="E128" s="162" t="s">
        <v>1144</v>
      </c>
      <c r="F128" s="32">
        <v>2.1</v>
      </c>
      <c r="G128" s="64">
        <f t="shared" si="16"/>
        <v>0.52500000000000002</v>
      </c>
      <c r="H128" s="10" t="s">
        <v>23</v>
      </c>
      <c r="I128" s="10">
        <v>5</v>
      </c>
      <c r="J128" s="13">
        <f>G128/34</f>
        <v>1.5441176470588236E-2</v>
      </c>
      <c r="K128" s="30">
        <f t="shared" si="15"/>
        <v>6.6642971387950944E-2</v>
      </c>
      <c r="L128" s="30">
        <f t="shared" si="14"/>
        <v>0.33321485693975472</v>
      </c>
    </row>
    <row r="129" spans="1:19">
      <c r="D129" s="42"/>
      <c r="E129" s="162" t="s">
        <v>1145</v>
      </c>
      <c r="F129" s="32">
        <v>7.583333333333333</v>
      </c>
      <c r="G129" s="64">
        <f t="shared" si="16"/>
        <v>1.8958333333333333</v>
      </c>
      <c r="H129" s="10" t="s">
        <v>23</v>
      </c>
      <c r="I129" s="10">
        <v>5</v>
      </c>
      <c r="J129" s="13">
        <v>0</v>
      </c>
      <c r="K129" s="30">
        <f t="shared" si="15"/>
        <v>0</v>
      </c>
      <c r="L129" s="30">
        <f t="shared" si="14"/>
        <v>0</v>
      </c>
    </row>
    <row r="130" spans="1:19">
      <c r="D130" s="42"/>
      <c r="E130" s="164" t="s">
        <v>1133</v>
      </c>
      <c r="F130" s="32">
        <v>2.4499999999999997</v>
      </c>
      <c r="G130" s="64">
        <f t="shared" si="16"/>
        <v>0.61249999999999993</v>
      </c>
      <c r="J130" s="18">
        <v>0</v>
      </c>
      <c r="K130" s="30">
        <f t="shared" si="15"/>
        <v>0</v>
      </c>
      <c r="L130" s="30">
        <f t="shared" si="14"/>
        <v>0</v>
      </c>
      <c r="P130" s="20">
        <v>0.61249999999999993</v>
      </c>
    </row>
    <row r="131" spans="1:19">
      <c r="D131" s="42"/>
      <c r="E131" s="162" t="s">
        <v>1146</v>
      </c>
      <c r="F131" s="32">
        <v>5.8333333333333339</v>
      </c>
      <c r="G131" s="64">
        <f t="shared" si="16"/>
        <v>1.4583333333333335</v>
      </c>
      <c r="J131" s="18">
        <v>0</v>
      </c>
      <c r="K131" s="30">
        <f t="shared" si="15"/>
        <v>0</v>
      </c>
      <c r="L131" s="30">
        <f t="shared" si="14"/>
        <v>0</v>
      </c>
      <c r="P131" s="20">
        <v>0.2807291666666667</v>
      </c>
    </row>
    <row r="132" spans="1:19">
      <c r="D132" s="42"/>
      <c r="E132" s="162" t="s">
        <v>1147</v>
      </c>
      <c r="F132" s="32">
        <v>5.8333333333333339</v>
      </c>
      <c r="G132" s="64">
        <f t="shared" si="16"/>
        <v>1.4583333333333335</v>
      </c>
      <c r="J132" s="18">
        <v>0</v>
      </c>
      <c r="K132" s="30">
        <f t="shared" si="15"/>
        <v>0</v>
      </c>
      <c r="L132" s="30">
        <f t="shared" si="14"/>
        <v>0</v>
      </c>
      <c r="P132" s="20">
        <v>6.3802083333333343E-2</v>
      </c>
    </row>
    <row r="133" spans="1:19">
      <c r="A133" s="7"/>
      <c r="B133" s="7"/>
      <c r="E133" s="162" t="s">
        <v>1167</v>
      </c>
      <c r="F133" s="31">
        <v>150</v>
      </c>
      <c r="G133" s="66">
        <f t="shared" si="16"/>
        <v>37.5</v>
      </c>
      <c r="H133" s="10" t="s">
        <v>17</v>
      </c>
      <c r="I133" s="10">
        <v>1</v>
      </c>
      <c r="J133" s="13">
        <f>G133/40</f>
        <v>0.9375</v>
      </c>
      <c r="K133" s="30">
        <f t="shared" si="15"/>
        <v>4.0461804056970214</v>
      </c>
      <c r="L133" s="30">
        <f t="shared" si="14"/>
        <v>4.0461804056970214</v>
      </c>
      <c r="R133" s="7"/>
      <c r="S133" s="7"/>
    </row>
    <row r="134" spans="1:19">
      <c r="A134" s="7"/>
      <c r="B134" s="7"/>
      <c r="E134" s="158" t="s">
        <v>1057</v>
      </c>
      <c r="F134" s="31">
        <v>16</v>
      </c>
      <c r="G134" s="66">
        <f t="shared" si="16"/>
        <v>4</v>
      </c>
      <c r="H134" s="10" t="s">
        <v>16</v>
      </c>
      <c r="I134" s="10">
        <v>5</v>
      </c>
      <c r="J134" s="13">
        <f>G134/7</f>
        <v>0.5714285714285714</v>
      </c>
      <c r="K134" s="30">
        <f t="shared" si="15"/>
        <v>2.4662432949010418</v>
      </c>
      <c r="L134" s="30">
        <f>K134*I134</f>
        <v>12.331216474505208</v>
      </c>
      <c r="R134" s="7"/>
      <c r="S134" s="7"/>
    </row>
    <row r="135" spans="1:19">
      <c r="A135" s="7"/>
      <c r="B135" s="7"/>
      <c r="E135" s="162" t="s">
        <v>1132</v>
      </c>
      <c r="F135" s="31">
        <v>13</v>
      </c>
      <c r="G135" s="66">
        <f t="shared" si="16"/>
        <v>3.25</v>
      </c>
      <c r="H135" s="10"/>
      <c r="I135" s="10"/>
      <c r="J135" s="13">
        <v>0</v>
      </c>
      <c r="K135" s="30">
        <f t="shared" si="15"/>
        <v>0</v>
      </c>
      <c r="L135" s="30">
        <f t="shared" si="14"/>
        <v>0</v>
      </c>
      <c r="Q135" s="21">
        <v>3.3</v>
      </c>
      <c r="R135" s="7"/>
      <c r="S135" s="7"/>
    </row>
    <row r="136" spans="1:19">
      <c r="E136" s="162" t="s">
        <v>1145</v>
      </c>
      <c r="F136" s="31">
        <v>2.2000000000000002</v>
      </c>
      <c r="G136" s="66">
        <f t="shared" si="16"/>
        <v>0.55000000000000004</v>
      </c>
      <c r="H136" s="10" t="s">
        <v>23</v>
      </c>
      <c r="I136" s="10">
        <v>5</v>
      </c>
      <c r="J136" s="13">
        <v>0</v>
      </c>
      <c r="K136" s="30">
        <f t="shared" si="15"/>
        <v>0</v>
      </c>
      <c r="L136" s="30">
        <f t="shared" si="14"/>
        <v>0</v>
      </c>
      <c r="R136" s="7"/>
      <c r="S136" s="7"/>
    </row>
    <row r="137" spans="1:19">
      <c r="E137" s="162" t="s">
        <v>1133</v>
      </c>
      <c r="F137" s="31">
        <v>2</v>
      </c>
      <c r="G137" s="66">
        <f t="shared" si="16"/>
        <v>0.5</v>
      </c>
      <c r="H137" s="10"/>
      <c r="I137" s="10"/>
      <c r="J137" s="13">
        <v>0</v>
      </c>
      <c r="K137" s="30">
        <f t="shared" si="15"/>
        <v>0</v>
      </c>
      <c r="L137" s="30">
        <f t="shared" si="14"/>
        <v>0</v>
      </c>
      <c r="P137" s="20">
        <v>0.5</v>
      </c>
    </row>
    <row r="138" spans="1:19">
      <c r="E138" s="163" t="s">
        <v>1122</v>
      </c>
      <c r="F138" s="33">
        <v>150</v>
      </c>
      <c r="G138" s="66">
        <f t="shared" si="16"/>
        <v>37.5</v>
      </c>
      <c r="H138" s="10" t="s">
        <v>20</v>
      </c>
      <c r="I138" s="9">
        <v>4</v>
      </c>
      <c r="J138" s="13">
        <f>G138/80</f>
        <v>0.46875</v>
      </c>
      <c r="K138" s="30">
        <f t="shared" si="15"/>
        <v>2.0230902028485107</v>
      </c>
      <c r="L138" s="30">
        <f t="shared" si="14"/>
        <v>8.0923608113940428</v>
      </c>
    </row>
    <row r="139" spans="1:19">
      <c r="E139" s="163" t="s">
        <v>1117</v>
      </c>
      <c r="F139" s="33">
        <v>20</v>
      </c>
      <c r="G139" s="66">
        <f t="shared" si="16"/>
        <v>5</v>
      </c>
      <c r="H139" s="10" t="s">
        <v>14</v>
      </c>
      <c r="I139" s="10">
        <v>5</v>
      </c>
      <c r="J139" s="13">
        <f>G139/40</f>
        <v>0.125</v>
      </c>
      <c r="K139" s="30">
        <f t="shared" si="15"/>
        <v>0.53949072075960292</v>
      </c>
      <c r="L139" s="30">
        <f t="shared" si="14"/>
        <v>2.6974536037980146</v>
      </c>
    </row>
    <row r="140" spans="1:19">
      <c r="C140" s="7" t="s">
        <v>1062</v>
      </c>
      <c r="E140" s="163" t="s">
        <v>1162</v>
      </c>
      <c r="G140" s="64">
        <v>100</v>
      </c>
      <c r="H140" s="10" t="s">
        <v>21</v>
      </c>
      <c r="I140" s="10">
        <v>4</v>
      </c>
      <c r="J140" s="18">
        <v>2</v>
      </c>
      <c r="K140" s="30">
        <f t="shared" si="15"/>
        <v>8.6318515321536466</v>
      </c>
      <c r="L140" s="30">
        <f t="shared" si="14"/>
        <v>34.527406128614587</v>
      </c>
    </row>
    <row r="141" spans="1:19">
      <c r="C141" s="7"/>
      <c r="E141" s="163" t="s">
        <v>1129</v>
      </c>
      <c r="G141" s="64">
        <v>5</v>
      </c>
      <c r="J141" s="18">
        <v>1</v>
      </c>
      <c r="K141" s="30">
        <f t="shared" si="15"/>
        <v>4.3159257660768233</v>
      </c>
      <c r="L141" s="30">
        <f t="shared" si="14"/>
        <v>0</v>
      </c>
      <c r="Q141" s="21">
        <v>5</v>
      </c>
    </row>
    <row r="142" spans="1:19">
      <c r="C142" s="7"/>
      <c r="E142" s="163" t="s">
        <v>1133</v>
      </c>
      <c r="G142" s="64">
        <v>1</v>
      </c>
      <c r="J142" s="18">
        <v>0</v>
      </c>
      <c r="K142" s="30">
        <f t="shared" si="15"/>
        <v>0</v>
      </c>
      <c r="L142" s="30">
        <f t="shared" si="14"/>
        <v>0</v>
      </c>
      <c r="P142" s="20">
        <v>1</v>
      </c>
    </row>
    <row r="143" spans="1:19">
      <c r="C143" s="42" t="s">
        <v>1063</v>
      </c>
      <c r="D143" s="162" t="s">
        <v>1310</v>
      </c>
      <c r="E143" s="163" t="s">
        <v>1164</v>
      </c>
      <c r="F143" s="29">
        <v>220</v>
      </c>
      <c r="G143" s="64">
        <f t="shared" ref="G143:G155" si="17">F143/4</f>
        <v>55</v>
      </c>
      <c r="H143" s="10" t="s">
        <v>23</v>
      </c>
      <c r="I143" s="10">
        <v>5</v>
      </c>
      <c r="J143" s="18">
        <f>G143/70</f>
        <v>0.7857142857142857</v>
      </c>
      <c r="K143" s="30">
        <f t="shared" si="15"/>
        <v>3.3910845304889325</v>
      </c>
      <c r="L143" s="30">
        <f t="shared" si="14"/>
        <v>16.955422652444664</v>
      </c>
    </row>
    <row r="144" spans="1:19">
      <c r="D144" s="42"/>
      <c r="E144" s="162" t="s">
        <v>1128</v>
      </c>
      <c r="F144" s="32">
        <v>18</v>
      </c>
      <c r="G144" s="64">
        <f t="shared" si="17"/>
        <v>4.5</v>
      </c>
      <c r="J144" s="18">
        <v>0</v>
      </c>
      <c r="K144" s="30">
        <f t="shared" si="15"/>
        <v>0</v>
      </c>
      <c r="L144" s="30">
        <f t="shared" si="14"/>
        <v>0</v>
      </c>
      <c r="P144" s="20">
        <f>G144*24/100</f>
        <v>1.08</v>
      </c>
    </row>
    <row r="145" spans="1:19">
      <c r="A145" s="7"/>
      <c r="B145" s="7"/>
      <c r="E145" s="162" t="s">
        <v>1117</v>
      </c>
      <c r="F145" s="31">
        <v>7</v>
      </c>
      <c r="G145" s="64">
        <f t="shared" si="17"/>
        <v>1.75</v>
      </c>
      <c r="H145" s="10" t="s">
        <v>14</v>
      </c>
      <c r="I145" s="10">
        <v>5</v>
      </c>
      <c r="J145" s="13">
        <f>G146/40</f>
        <v>3.4375000000000003E-2</v>
      </c>
      <c r="K145" s="30">
        <f t="shared" si="15"/>
        <v>0.14835994820889081</v>
      </c>
      <c r="L145" s="30">
        <f t="shared" si="14"/>
        <v>0.74179974104445412</v>
      </c>
      <c r="R145" s="7"/>
      <c r="S145" s="7"/>
    </row>
    <row r="146" spans="1:19">
      <c r="A146" s="7"/>
      <c r="B146" s="7"/>
      <c r="E146" s="158" t="s">
        <v>1057</v>
      </c>
      <c r="F146" s="31">
        <v>5.5</v>
      </c>
      <c r="G146" s="64">
        <f t="shared" si="17"/>
        <v>1.375</v>
      </c>
      <c r="H146" s="10" t="s">
        <v>16</v>
      </c>
      <c r="I146" s="10">
        <v>5</v>
      </c>
      <c r="J146" s="13">
        <f>G146/7</f>
        <v>0.19642857142857142</v>
      </c>
      <c r="K146" s="30">
        <f t="shared" si="15"/>
        <v>0.84777113262223314</v>
      </c>
      <c r="L146" s="30">
        <f t="shared" si="14"/>
        <v>4.238855663111166</v>
      </c>
      <c r="R146" s="7"/>
      <c r="S146" s="7"/>
    </row>
    <row r="147" spans="1:19">
      <c r="A147" s="7"/>
      <c r="B147" s="7"/>
      <c r="E147" s="162" t="s">
        <v>1129</v>
      </c>
      <c r="F147" s="31">
        <v>13</v>
      </c>
      <c r="G147" s="64">
        <f t="shared" si="17"/>
        <v>3.25</v>
      </c>
      <c r="H147" s="10"/>
      <c r="I147" s="10"/>
      <c r="J147" s="13">
        <v>0</v>
      </c>
      <c r="K147" s="30">
        <f t="shared" si="15"/>
        <v>0</v>
      </c>
      <c r="L147" s="30">
        <f t="shared" si="14"/>
        <v>0</v>
      </c>
      <c r="Q147" s="21">
        <v>3.3</v>
      </c>
      <c r="R147" s="7"/>
      <c r="S147" s="7"/>
    </row>
    <row r="148" spans="1:19">
      <c r="E148" s="162" t="s">
        <v>1132</v>
      </c>
      <c r="F148" s="31">
        <v>6.5</v>
      </c>
      <c r="G148" s="64">
        <f t="shared" si="17"/>
        <v>1.625</v>
      </c>
      <c r="H148" s="10"/>
      <c r="I148" s="10"/>
      <c r="J148" s="13">
        <v>0</v>
      </c>
      <c r="K148" s="30">
        <f t="shared" si="15"/>
        <v>0</v>
      </c>
      <c r="L148" s="30">
        <f t="shared" si="14"/>
        <v>0</v>
      </c>
      <c r="Q148" s="21">
        <v>1.6</v>
      </c>
      <c r="R148" s="7"/>
      <c r="S148" s="7"/>
    </row>
    <row r="149" spans="1:19">
      <c r="E149" s="162" t="s">
        <v>1155</v>
      </c>
      <c r="F149" s="31">
        <v>2</v>
      </c>
      <c r="G149" s="64">
        <f t="shared" si="17"/>
        <v>0.5</v>
      </c>
      <c r="H149" s="10" t="s">
        <v>140</v>
      </c>
      <c r="I149" s="9">
        <v>2</v>
      </c>
      <c r="J149" s="13">
        <f>G150/8</f>
        <v>9.375</v>
      </c>
      <c r="K149" s="30">
        <f t="shared" si="15"/>
        <v>40.461804056970216</v>
      </c>
      <c r="L149" s="30">
        <f t="shared" si="14"/>
        <v>80.923608113940432</v>
      </c>
      <c r="Q149" s="21">
        <f>G149*53.8/100</f>
        <v>0.26899999999999996</v>
      </c>
    </row>
    <row r="150" spans="1:19">
      <c r="C150" s="161" t="s">
        <v>1165</v>
      </c>
      <c r="E150" s="163" t="s">
        <v>1166</v>
      </c>
      <c r="F150" s="29">
        <v>300</v>
      </c>
      <c r="G150" s="64">
        <f t="shared" si="17"/>
        <v>75</v>
      </c>
      <c r="H150" s="10" t="s">
        <v>23</v>
      </c>
      <c r="I150" s="10">
        <v>5</v>
      </c>
      <c r="J150" s="18">
        <f>G150/70</f>
        <v>1.0714285714285714</v>
      </c>
      <c r="K150" s="30">
        <f t="shared" si="15"/>
        <v>4.6242061779394525</v>
      </c>
      <c r="L150" s="30">
        <f t="shared" si="14"/>
        <v>23.121030889697263</v>
      </c>
    </row>
    <row r="151" spans="1:19">
      <c r="D151" s="42"/>
      <c r="E151" s="162" t="s">
        <v>1133</v>
      </c>
      <c r="F151" s="32">
        <v>5</v>
      </c>
      <c r="G151" s="64">
        <f t="shared" si="17"/>
        <v>1.25</v>
      </c>
      <c r="J151" s="18">
        <v>0</v>
      </c>
      <c r="K151" s="30">
        <f t="shared" si="15"/>
        <v>0</v>
      </c>
      <c r="L151" s="30">
        <f t="shared" si="14"/>
        <v>0</v>
      </c>
      <c r="P151" s="20">
        <v>1.3</v>
      </c>
    </row>
    <row r="152" spans="1:19">
      <c r="A152" s="7"/>
      <c r="B152" s="7"/>
      <c r="E152" s="162" t="s">
        <v>1117</v>
      </c>
      <c r="F152" s="31">
        <v>7</v>
      </c>
      <c r="G152" s="64">
        <f t="shared" si="17"/>
        <v>1.75</v>
      </c>
      <c r="H152" s="10" t="s">
        <v>14</v>
      </c>
      <c r="I152" s="10">
        <v>5</v>
      </c>
      <c r="J152" s="13">
        <f>G153/40</f>
        <v>3.4375000000000003E-2</v>
      </c>
      <c r="K152" s="30">
        <f t="shared" si="15"/>
        <v>0.14835994820889081</v>
      </c>
      <c r="L152" s="30">
        <f t="shared" si="14"/>
        <v>0.74179974104445412</v>
      </c>
      <c r="R152" s="7"/>
      <c r="S152" s="7"/>
    </row>
    <row r="153" spans="1:19">
      <c r="A153" s="7"/>
      <c r="B153" s="7"/>
      <c r="E153" s="158" t="s">
        <v>1057</v>
      </c>
      <c r="F153" s="31">
        <v>5.5</v>
      </c>
      <c r="G153" s="64">
        <f t="shared" si="17"/>
        <v>1.375</v>
      </c>
      <c r="H153" s="10" t="s">
        <v>16</v>
      </c>
      <c r="I153" s="10">
        <v>5</v>
      </c>
      <c r="J153" s="13">
        <f>G153/7</f>
        <v>0.19642857142857142</v>
      </c>
      <c r="K153" s="30">
        <f t="shared" si="15"/>
        <v>0.84777113262223314</v>
      </c>
      <c r="L153" s="30">
        <f t="shared" si="14"/>
        <v>4.238855663111166</v>
      </c>
      <c r="R153" s="7"/>
      <c r="S153" s="7"/>
    </row>
    <row r="154" spans="1:19">
      <c r="A154" s="7"/>
      <c r="B154" s="7"/>
      <c r="E154" s="162" t="s">
        <v>1137</v>
      </c>
      <c r="F154" s="31">
        <v>4</v>
      </c>
      <c r="G154" s="64">
        <f t="shared" si="17"/>
        <v>1</v>
      </c>
      <c r="H154" s="10" t="s">
        <v>140</v>
      </c>
      <c r="I154" s="9">
        <v>2</v>
      </c>
      <c r="J154" s="13">
        <f>G155/8</f>
        <v>0.203125</v>
      </c>
      <c r="K154" s="30">
        <f t="shared" si="15"/>
        <v>0.87667242123435474</v>
      </c>
      <c r="L154" s="30">
        <f t="shared" si="14"/>
        <v>1.7533448424687095</v>
      </c>
      <c r="Q154" s="21">
        <f>G154*53.8/100</f>
        <v>0.53799999999999992</v>
      </c>
      <c r="R154" s="7"/>
      <c r="S154" s="7"/>
    </row>
    <row r="155" spans="1:19">
      <c r="E155" s="162" t="s">
        <v>1132</v>
      </c>
      <c r="F155" s="31">
        <v>6.5</v>
      </c>
      <c r="G155" s="64">
        <f t="shared" si="17"/>
        <v>1.625</v>
      </c>
      <c r="H155" s="10"/>
      <c r="I155" s="10"/>
      <c r="J155" s="13">
        <v>0</v>
      </c>
      <c r="K155" s="30">
        <f t="shared" si="15"/>
        <v>0</v>
      </c>
      <c r="L155" s="30">
        <f t="shared" si="14"/>
        <v>0</v>
      </c>
      <c r="Q155" s="21">
        <v>1.6</v>
      </c>
      <c r="R155" s="7"/>
      <c r="S155" s="7"/>
    </row>
    <row r="156" spans="1:19">
      <c r="C156" s="161" t="s">
        <v>1054</v>
      </c>
      <c r="D156" s="162" t="s">
        <v>1310</v>
      </c>
      <c r="E156" s="163" t="s">
        <v>1156</v>
      </c>
      <c r="F156" s="29">
        <v>1000</v>
      </c>
      <c r="G156" s="64">
        <f>F156/12</f>
        <v>83.333333333333329</v>
      </c>
      <c r="H156" s="10" t="s">
        <v>23</v>
      </c>
      <c r="I156" s="10">
        <v>5</v>
      </c>
      <c r="J156" s="13">
        <f>G156/70</f>
        <v>1.1904761904761905</v>
      </c>
      <c r="K156" s="30">
        <f t="shared" si="15"/>
        <v>5.1380068643771706</v>
      </c>
      <c r="L156" s="30">
        <f t="shared" si="14"/>
        <v>25.690034321885854</v>
      </c>
      <c r="P156" s="23"/>
      <c r="Q156" s="24"/>
    </row>
    <row r="157" spans="1:19">
      <c r="D157" s="29"/>
      <c r="E157" s="163" t="s">
        <v>1133</v>
      </c>
      <c r="F157" s="29">
        <v>42</v>
      </c>
      <c r="G157" s="64">
        <f t="shared" ref="G157:G166" si="18">F157/12</f>
        <v>3.5</v>
      </c>
      <c r="J157" s="18">
        <v>0</v>
      </c>
      <c r="K157" s="30">
        <f t="shared" si="15"/>
        <v>0</v>
      </c>
      <c r="L157" s="30">
        <f t="shared" si="14"/>
        <v>0</v>
      </c>
      <c r="P157" s="23">
        <v>3.5</v>
      </c>
      <c r="Q157" s="24"/>
    </row>
    <row r="158" spans="1:19">
      <c r="E158" s="163" t="s">
        <v>1157</v>
      </c>
      <c r="F158" s="29">
        <v>25</v>
      </c>
      <c r="G158" s="64">
        <f t="shared" si="18"/>
        <v>2.0833333333333335</v>
      </c>
      <c r="H158" s="10" t="s">
        <v>14</v>
      </c>
      <c r="I158" s="10">
        <v>5</v>
      </c>
      <c r="J158" s="13">
        <f>G159/40</f>
        <v>3.125E-2</v>
      </c>
      <c r="K158" s="30">
        <f t="shared" si="15"/>
        <v>0.13487268018990073</v>
      </c>
      <c r="L158" s="30">
        <f t="shared" si="14"/>
        <v>0.67436340094950364</v>
      </c>
    </row>
    <row r="159" spans="1:19">
      <c r="E159" s="163" t="s">
        <v>1123</v>
      </c>
      <c r="F159" s="29">
        <v>15</v>
      </c>
      <c r="G159" s="64">
        <f t="shared" si="18"/>
        <v>1.25</v>
      </c>
      <c r="H159" s="10" t="s">
        <v>23</v>
      </c>
      <c r="I159" s="10">
        <v>5</v>
      </c>
      <c r="J159" s="13">
        <f>G159/70</f>
        <v>1.7857142857142856E-2</v>
      </c>
      <c r="K159" s="30">
        <f t="shared" si="15"/>
        <v>7.7070102965657555E-2</v>
      </c>
      <c r="L159" s="30">
        <f t="shared" si="14"/>
        <v>0.38535051482828775</v>
      </c>
    </row>
    <row r="160" spans="1:19">
      <c r="E160" s="163" t="s">
        <v>1124</v>
      </c>
      <c r="F160" s="29">
        <v>60</v>
      </c>
      <c r="G160" s="64">
        <f t="shared" si="18"/>
        <v>5</v>
      </c>
      <c r="H160" s="10" t="s">
        <v>23</v>
      </c>
      <c r="I160" s="10">
        <v>5</v>
      </c>
      <c r="J160" s="13">
        <f>G160/70</f>
        <v>7.1428571428571425E-2</v>
      </c>
      <c r="K160" s="30">
        <f t="shared" si="15"/>
        <v>0.30828041186263022</v>
      </c>
      <c r="L160" s="30">
        <f t="shared" si="14"/>
        <v>1.541402059313151</v>
      </c>
    </row>
    <row r="161" spans="1:17">
      <c r="E161" s="163" t="s">
        <v>1158</v>
      </c>
      <c r="F161" s="29">
        <v>7</v>
      </c>
      <c r="G161" s="64">
        <f t="shared" si="18"/>
        <v>0.58333333333333337</v>
      </c>
      <c r="H161" s="10" t="s">
        <v>15</v>
      </c>
      <c r="I161" s="10">
        <v>2</v>
      </c>
      <c r="J161" s="18">
        <f>G161/30</f>
        <v>1.9444444444444445E-2</v>
      </c>
      <c r="K161" s="30">
        <f t="shared" si="15"/>
        <v>8.3920778784827121E-2</v>
      </c>
      <c r="L161" s="30">
        <f t="shared" si="14"/>
        <v>0.16784155756965424</v>
      </c>
    </row>
    <row r="162" spans="1:17">
      <c r="E162" s="163" t="s">
        <v>1146</v>
      </c>
      <c r="F162" s="29">
        <v>22.5</v>
      </c>
      <c r="G162" s="64">
        <f t="shared" si="18"/>
        <v>1.875</v>
      </c>
      <c r="J162" s="18">
        <v>0</v>
      </c>
      <c r="K162" s="30">
        <f t="shared" si="15"/>
        <v>0</v>
      </c>
      <c r="L162" s="30">
        <f t="shared" si="14"/>
        <v>0</v>
      </c>
      <c r="P162" s="20">
        <f>G162*22/100</f>
        <v>0.41249999999999998</v>
      </c>
    </row>
    <row r="163" spans="1:17">
      <c r="E163" s="163" t="s">
        <v>1152</v>
      </c>
      <c r="F163" s="29">
        <v>6</v>
      </c>
      <c r="G163" s="64">
        <f t="shared" si="18"/>
        <v>0.5</v>
      </c>
      <c r="J163" s="18">
        <v>0</v>
      </c>
      <c r="K163" s="30">
        <f t="shared" si="15"/>
        <v>0</v>
      </c>
      <c r="L163" s="30">
        <f t="shared" si="14"/>
        <v>0</v>
      </c>
    </row>
    <row r="164" spans="1:17">
      <c r="E164" s="163" t="s">
        <v>1145</v>
      </c>
      <c r="F164" s="29">
        <v>21</v>
      </c>
      <c r="G164" s="64">
        <f t="shared" si="18"/>
        <v>1.75</v>
      </c>
      <c r="H164" s="10" t="s">
        <v>23</v>
      </c>
      <c r="I164" s="10">
        <v>5</v>
      </c>
      <c r="J164" s="18">
        <v>0</v>
      </c>
      <c r="K164" s="30">
        <f t="shared" si="15"/>
        <v>0</v>
      </c>
      <c r="L164" s="30">
        <f t="shared" si="14"/>
        <v>0</v>
      </c>
    </row>
    <row r="165" spans="1:17">
      <c r="E165" s="158" t="s">
        <v>1057</v>
      </c>
      <c r="F165" s="29">
        <v>16</v>
      </c>
      <c r="G165" s="64">
        <f t="shared" si="18"/>
        <v>1.3333333333333333</v>
      </c>
      <c r="H165" s="10" t="s">
        <v>16</v>
      </c>
      <c r="I165" s="10">
        <v>5</v>
      </c>
      <c r="J165" s="13">
        <f>G165/7</f>
        <v>0.19047619047619047</v>
      </c>
      <c r="K165" s="30">
        <f t="shared" si="15"/>
        <v>0.82208109830034726</v>
      </c>
      <c r="L165" s="30">
        <f t="shared" si="14"/>
        <v>4.1104054915017363</v>
      </c>
    </row>
    <row r="166" spans="1:17">
      <c r="E166" s="163" t="s">
        <v>1144</v>
      </c>
      <c r="F166" s="29">
        <v>4</v>
      </c>
      <c r="G166" s="64">
        <f t="shared" si="18"/>
        <v>0.33333333333333331</v>
      </c>
      <c r="H166" s="10" t="s">
        <v>23</v>
      </c>
      <c r="I166" s="10">
        <v>5</v>
      </c>
      <c r="J166" s="13">
        <f>G166/34</f>
        <v>9.8039215686274508E-3</v>
      </c>
      <c r="K166" s="30">
        <f t="shared" si="15"/>
        <v>4.2312997706635519E-2</v>
      </c>
      <c r="L166" s="30">
        <f t="shared" si="14"/>
        <v>0.21156498853317759</v>
      </c>
    </row>
    <row r="167" spans="1:17" ht="17.25" thickBot="1">
      <c r="A167" s="37"/>
      <c r="B167" s="37"/>
      <c r="C167" s="37"/>
      <c r="D167" s="40"/>
      <c r="E167" s="165"/>
      <c r="F167" s="37"/>
      <c r="G167" s="68"/>
      <c r="H167" s="37"/>
      <c r="I167" s="39"/>
      <c r="J167" s="26">
        <f>SUM(J118:J166)</f>
        <v>23.16656454248367</v>
      </c>
      <c r="K167" s="38">
        <f>SUM(K118:K166)</f>
        <v>99.985172820386964</v>
      </c>
      <c r="L167" s="38"/>
      <c r="M167" s="38">
        <f>SUM(L118:L166)</f>
        <v>296.81210349195067</v>
      </c>
      <c r="N167" s="37" t="s">
        <v>36</v>
      </c>
      <c r="O167" s="37" t="s">
        <v>13</v>
      </c>
      <c r="P167" s="27">
        <f>SUM(P118:P166)</f>
        <v>8.7495312499999986</v>
      </c>
      <c r="Q167" s="28">
        <f>SUM(Q118:Q166)</f>
        <v>15.607000000000001</v>
      </c>
    </row>
    <row r="169" spans="1:17">
      <c r="A169" s="22">
        <v>5</v>
      </c>
      <c r="B169" s="7" t="s">
        <v>43</v>
      </c>
      <c r="C169" s="42" t="s">
        <v>1168</v>
      </c>
      <c r="E169" s="163" t="s">
        <v>1169</v>
      </c>
      <c r="G169" s="64">
        <v>30</v>
      </c>
      <c r="H169" s="10" t="s">
        <v>25</v>
      </c>
      <c r="I169" s="10">
        <v>4</v>
      </c>
      <c r="J169" s="13">
        <v>1</v>
      </c>
      <c r="K169" s="30">
        <f>J169/12.68*100</f>
        <v>7.8864353312302837</v>
      </c>
      <c r="L169" s="30">
        <f t="shared" ref="L169:L196" si="19">K169*I169</f>
        <v>31.545741324921135</v>
      </c>
    </row>
    <row r="170" spans="1:17">
      <c r="A170" s="22"/>
      <c r="B170" s="7"/>
      <c r="C170" s="42"/>
      <c r="E170" s="163" t="s">
        <v>1114</v>
      </c>
      <c r="G170" s="64">
        <v>60</v>
      </c>
      <c r="H170" s="10" t="s">
        <v>15</v>
      </c>
      <c r="I170" s="10">
        <v>2</v>
      </c>
      <c r="J170" s="13">
        <v>2</v>
      </c>
      <c r="K170" s="30">
        <f t="shared" ref="K170:K196" si="20">J170/12.68*100</f>
        <v>15.772870662460567</v>
      </c>
      <c r="L170" s="30">
        <f t="shared" si="19"/>
        <v>31.545741324921135</v>
      </c>
    </row>
    <row r="171" spans="1:17">
      <c r="A171" s="22"/>
      <c r="C171" s="7" t="s">
        <v>1064</v>
      </c>
      <c r="D171" s="162" t="s">
        <v>1310</v>
      </c>
      <c r="E171" s="163" t="s">
        <v>1166</v>
      </c>
      <c r="F171" s="29">
        <v>250</v>
      </c>
      <c r="G171" s="64">
        <f t="shared" ref="G171:G172" si="21">F171/4</f>
        <v>62.5</v>
      </c>
      <c r="H171" s="10" t="s">
        <v>23</v>
      </c>
      <c r="I171" s="10">
        <v>5</v>
      </c>
      <c r="J171" s="18">
        <f>G171/70</f>
        <v>0.8928571428571429</v>
      </c>
      <c r="K171" s="30">
        <f t="shared" si="20"/>
        <v>7.0414601171698967</v>
      </c>
      <c r="L171" s="30">
        <f t="shared" si="19"/>
        <v>35.207300585849481</v>
      </c>
    </row>
    <row r="172" spans="1:17">
      <c r="E172" s="162" t="s">
        <v>1117</v>
      </c>
      <c r="F172" s="31">
        <v>20</v>
      </c>
      <c r="G172" s="64">
        <f t="shared" si="21"/>
        <v>5</v>
      </c>
      <c r="H172" s="10" t="s">
        <v>14</v>
      </c>
      <c r="I172" s="10">
        <v>5</v>
      </c>
      <c r="J172" s="13">
        <f>G173/40</f>
        <v>0.1</v>
      </c>
      <c r="K172" s="30">
        <f t="shared" si="20"/>
        <v>0.78864353312302848</v>
      </c>
      <c r="L172" s="30">
        <f t="shared" si="19"/>
        <v>3.9432176656151423</v>
      </c>
    </row>
    <row r="173" spans="1:17">
      <c r="C173" s="159"/>
      <c r="E173" s="158" t="s">
        <v>1057</v>
      </c>
      <c r="F173" s="29">
        <v>16</v>
      </c>
      <c r="G173" s="64">
        <f>F173/4</f>
        <v>4</v>
      </c>
      <c r="H173" s="10" t="s">
        <v>16</v>
      </c>
      <c r="I173" s="10">
        <v>5</v>
      </c>
      <c r="J173" s="13">
        <f>G173/7</f>
        <v>0.5714285714285714</v>
      </c>
      <c r="K173" s="30">
        <f t="shared" si="20"/>
        <v>4.5065344749887331</v>
      </c>
      <c r="L173" s="30">
        <f t="shared" si="19"/>
        <v>22.532672374943665</v>
      </c>
    </row>
    <row r="174" spans="1:17">
      <c r="D174" s="42"/>
      <c r="E174" s="163" t="s">
        <v>1128</v>
      </c>
      <c r="F174" s="29">
        <v>9</v>
      </c>
      <c r="G174" s="66">
        <f t="shared" ref="G174:G175" si="22">F174/4</f>
        <v>2.25</v>
      </c>
      <c r="J174" s="18">
        <v>0</v>
      </c>
      <c r="K174" s="30">
        <f t="shared" si="20"/>
        <v>0</v>
      </c>
      <c r="L174" s="30">
        <f t="shared" si="19"/>
        <v>0</v>
      </c>
      <c r="P174" s="20">
        <f>G174*24/100</f>
        <v>0.54</v>
      </c>
    </row>
    <row r="175" spans="1:17">
      <c r="D175" s="42"/>
      <c r="E175" s="164" t="s">
        <v>1133</v>
      </c>
      <c r="F175" s="32">
        <v>8</v>
      </c>
      <c r="G175" s="64">
        <f t="shared" si="22"/>
        <v>2</v>
      </c>
      <c r="J175" s="18">
        <v>0</v>
      </c>
      <c r="K175" s="30">
        <f t="shared" si="20"/>
        <v>0</v>
      </c>
      <c r="L175" s="30">
        <f t="shared" si="19"/>
        <v>0</v>
      </c>
      <c r="P175" s="20">
        <v>2</v>
      </c>
    </row>
    <row r="176" spans="1:17">
      <c r="A176" s="22"/>
      <c r="C176" s="161" t="s">
        <v>1171</v>
      </c>
      <c r="E176" s="163" t="s">
        <v>1172</v>
      </c>
      <c r="G176" s="64">
        <v>100</v>
      </c>
      <c r="H176" s="10" t="s">
        <v>21</v>
      </c>
      <c r="I176" s="10">
        <v>4</v>
      </c>
      <c r="J176" s="18">
        <v>2</v>
      </c>
      <c r="K176" s="30">
        <f t="shared" si="20"/>
        <v>15.772870662460567</v>
      </c>
      <c r="L176" s="30">
        <f t="shared" si="19"/>
        <v>63.09148264984227</v>
      </c>
    </row>
    <row r="177" spans="1:19">
      <c r="A177" s="22"/>
      <c r="C177" s="7"/>
      <c r="E177" s="163" t="s">
        <v>1129</v>
      </c>
      <c r="G177" s="64">
        <v>5</v>
      </c>
      <c r="J177" s="18">
        <v>1</v>
      </c>
      <c r="K177" s="30">
        <f t="shared" si="20"/>
        <v>7.8864353312302837</v>
      </c>
      <c r="L177" s="30">
        <f t="shared" si="19"/>
        <v>0</v>
      </c>
      <c r="Q177" s="21">
        <v>5</v>
      </c>
    </row>
    <row r="178" spans="1:19">
      <c r="A178" s="22"/>
      <c r="C178" s="7"/>
      <c r="E178" s="163" t="s">
        <v>1133</v>
      </c>
      <c r="G178" s="64">
        <v>1</v>
      </c>
      <c r="J178" s="18">
        <v>0</v>
      </c>
      <c r="K178" s="30">
        <f t="shared" si="20"/>
        <v>0</v>
      </c>
      <c r="L178" s="30">
        <f t="shared" si="19"/>
        <v>0</v>
      </c>
      <c r="P178" s="20">
        <v>1</v>
      </c>
    </row>
    <row r="179" spans="1:19">
      <c r="A179" s="22"/>
      <c r="C179" s="166" t="s">
        <v>1065</v>
      </c>
      <c r="D179" s="162" t="s">
        <v>1310</v>
      </c>
      <c r="E179" s="157" t="s">
        <v>1170</v>
      </c>
      <c r="F179" s="29">
        <v>300</v>
      </c>
      <c r="G179" s="64">
        <f t="shared" ref="G179:G196" si="23">F179/4</f>
        <v>75</v>
      </c>
      <c r="H179" s="10" t="s">
        <v>17</v>
      </c>
      <c r="I179" s="9">
        <v>1</v>
      </c>
      <c r="J179" s="18">
        <f>G179/40</f>
        <v>1.875</v>
      </c>
      <c r="K179" s="30">
        <f t="shared" si="20"/>
        <v>14.787066246056781</v>
      </c>
      <c r="L179" s="30">
        <f t="shared" si="19"/>
        <v>14.787066246056781</v>
      </c>
    </row>
    <row r="180" spans="1:19">
      <c r="A180" s="7"/>
      <c r="B180" s="7"/>
      <c r="E180" s="162" t="s">
        <v>1151</v>
      </c>
      <c r="F180" s="32">
        <v>36</v>
      </c>
      <c r="G180" s="64">
        <f t="shared" si="23"/>
        <v>9</v>
      </c>
      <c r="H180" s="10"/>
      <c r="I180" s="10"/>
      <c r="J180" s="13">
        <v>0</v>
      </c>
      <c r="K180" s="30">
        <f t="shared" si="20"/>
        <v>0</v>
      </c>
      <c r="L180" s="30">
        <f t="shared" si="19"/>
        <v>0</v>
      </c>
      <c r="P180" s="23">
        <f>G180*16/100</f>
        <v>1.44</v>
      </c>
      <c r="R180" s="7"/>
      <c r="S180" s="7"/>
    </row>
    <row r="181" spans="1:19">
      <c r="A181" s="7"/>
      <c r="B181" s="7"/>
      <c r="E181" s="162" t="s">
        <v>1152</v>
      </c>
      <c r="F181" s="32">
        <v>12</v>
      </c>
      <c r="G181" s="64">
        <f t="shared" si="23"/>
        <v>3</v>
      </c>
      <c r="H181" s="10"/>
      <c r="I181" s="10"/>
      <c r="J181" s="13">
        <v>0</v>
      </c>
      <c r="K181" s="30">
        <f t="shared" si="20"/>
        <v>0</v>
      </c>
      <c r="L181" s="30">
        <f t="shared" si="19"/>
        <v>0</v>
      </c>
      <c r="R181" s="7"/>
      <c r="S181" s="7"/>
    </row>
    <row r="182" spans="1:19">
      <c r="A182" s="7"/>
      <c r="B182" s="7"/>
      <c r="E182" s="162" t="s">
        <v>1173</v>
      </c>
      <c r="F182" s="32">
        <v>50</v>
      </c>
      <c r="G182" s="64">
        <f t="shared" si="23"/>
        <v>12.5</v>
      </c>
      <c r="H182" s="10"/>
      <c r="I182" s="10"/>
      <c r="J182" s="13">
        <v>0</v>
      </c>
      <c r="K182" s="30">
        <f t="shared" si="20"/>
        <v>0</v>
      </c>
      <c r="L182" s="30">
        <f t="shared" si="19"/>
        <v>0</v>
      </c>
      <c r="R182" s="7"/>
      <c r="S182" s="7"/>
    </row>
    <row r="183" spans="1:19">
      <c r="E183" s="162" t="s">
        <v>1153</v>
      </c>
      <c r="F183" s="32">
        <v>9.5</v>
      </c>
      <c r="G183" s="64">
        <f t="shared" si="23"/>
        <v>2.375</v>
      </c>
      <c r="H183" s="10"/>
      <c r="I183" s="10"/>
      <c r="J183" s="13">
        <v>0</v>
      </c>
      <c r="K183" s="30">
        <f t="shared" si="20"/>
        <v>0</v>
      </c>
      <c r="L183" s="30">
        <f t="shared" si="19"/>
        <v>0</v>
      </c>
      <c r="R183" s="7"/>
      <c r="S183" s="7"/>
    </row>
    <row r="184" spans="1:19">
      <c r="E184" s="162" t="s">
        <v>1117</v>
      </c>
      <c r="F184" s="32">
        <v>14</v>
      </c>
      <c r="G184" s="64">
        <f t="shared" si="23"/>
        <v>3.5</v>
      </c>
      <c r="H184" s="10" t="s">
        <v>14</v>
      </c>
      <c r="I184" s="10">
        <v>5</v>
      </c>
      <c r="J184" s="13">
        <f>G185/40</f>
        <v>0.05</v>
      </c>
      <c r="K184" s="30">
        <f t="shared" si="20"/>
        <v>0.39432176656151424</v>
      </c>
      <c r="L184" s="30">
        <f t="shared" si="19"/>
        <v>1.9716088328075712</v>
      </c>
    </row>
    <row r="185" spans="1:19">
      <c r="E185" s="158" t="s">
        <v>1119</v>
      </c>
      <c r="F185" s="32">
        <v>8</v>
      </c>
      <c r="G185" s="64">
        <f t="shared" si="23"/>
        <v>2</v>
      </c>
      <c r="H185" s="10" t="s">
        <v>16</v>
      </c>
      <c r="I185" s="10">
        <v>5</v>
      </c>
      <c r="J185" s="13">
        <f>G185/7</f>
        <v>0.2857142857142857</v>
      </c>
      <c r="K185" s="30">
        <f t="shared" si="20"/>
        <v>2.2532672374943665</v>
      </c>
      <c r="L185" s="30">
        <f t="shared" si="19"/>
        <v>11.266336187471833</v>
      </c>
    </row>
    <row r="186" spans="1:19">
      <c r="E186" s="162" t="s">
        <v>1155</v>
      </c>
      <c r="F186" s="32">
        <v>3</v>
      </c>
      <c r="G186" s="64">
        <f t="shared" si="23"/>
        <v>0.75</v>
      </c>
      <c r="H186" s="10" t="s">
        <v>140</v>
      </c>
      <c r="I186" s="9">
        <v>2</v>
      </c>
      <c r="J186" s="13">
        <f>G187/8</f>
        <v>0.40625</v>
      </c>
      <c r="K186" s="30">
        <f t="shared" si="20"/>
        <v>3.2038643533123032</v>
      </c>
      <c r="L186" s="30">
        <f t="shared" si="19"/>
        <v>6.4077287066246065</v>
      </c>
      <c r="Q186" s="21">
        <f>G186*53.8/100</f>
        <v>0.40349999999999997</v>
      </c>
    </row>
    <row r="187" spans="1:19">
      <c r="E187" s="162" t="s">
        <v>1132</v>
      </c>
      <c r="F187" s="32">
        <v>13</v>
      </c>
      <c r="G187" s="64">
        <f t="shared" si="23"/>
        <v>3.25</v>
      </c>
      <c r="H187" s="10"/>
      <c r="I187" s="10"/>
      <c r="J187" s="13">
        <v>0</v>
      </c>
      <c r="K187" s="30">
        <f t="shared" si="20"/>
        <v>0</v>
      </c>
      <c r="L187" s="30">
        <f t="shared" si="19"/>
        <v>0</v>
      </c>
      <c r="Q187" s="21">
        <v>3.3</v>
      </c>
    </row>
    <row r="188" spans="1:19">
      <c r="D188" s="42"/>
      <c r="E188" s="162" t="s">
        <v>1125</v>
      </c>
      <c r="F188" s="32">
        <v>200</v>
      </c>
      <c r="G188" s="64">
        <f t="shared" si="23"/>
        <v>50</v>
      </c>
      <c r="H188" s="10" t="s">
        <v>14</v>
      </c>
      <c r="I188" s="10">
        <v>5</v>
      </c>
      <c r="J188" s="13">
        <f>G189/70</f>
        <v>0.8928571428571429</v>
      </c>
      <c r="K188" s="30">
        <f t="shared" si="20"/>
        <v>7.0414601171698967</v>
      </c>
      <c r="L188" s="30">
        <f t="shared" si="19"/>
        <v>35.207300585849481</v>
      </c>
    </row>
    <row r="189" spans="1:19">
      <c r="C189" s="42" t="s">
        <v>1066</v>
      </c>
      <c r="D189" s="162" t="s">
        <v>1310</v>
      </c>
      <c r="E189" s="163" t="s">
        <v>1174</v>
      </c>
      <c r="F189" s="29">
        <v>250</v>
      </c>
      <c r="G189" s="64">
        <f t="shared" si="23"/>
        <v>62.5</v>
      </c>
      <c r="H189" s="10" t="s">
        <v>23</v>
      </c>
      <c r="I189" s="10">
        <v>5</v>
      </c>
      <c r="J189" s="18">
        <f>G189/70</f>
        <v>0.8928571428571429</v>
      </c>
      <c r="K189" s="30">
        <f t="shared" si="20"/>
        <v>7.0414601171698967</v>
      </c>
      <c r="L189" s="30">
        <f t="shared" si="19"/>
        <v>35.207300585849481</v>
      </c>
    </row>
    <row r="190" spans="1:19">
      <c r="A190" s="7"/>
      <c r="B190" s="7"/>
      <c r="E190" s="162" t="s">
        <v>1133</v>
      </c>
      <c r="F190" s="32">
        <v>3</v>
      </c>
      <c r="G190" s="64">
        <f t="shared" si="23"/>
        <v>0.75</v>
      </c>
      <c r="H190" s="10"/>
      <c r="I190" s="10"/>
      <c r="J190" s="13">
        <v>0</v>
      </c>
      <c r="K190" s="30">
        <f t="shared" si="20"/>
        <v>0</v>
      </c>
      <c r="L190" s="30">
        <f t="shared" si="19"/>
        <v>0</v>
      </c>
      <c r="P190" s="20">
        <v>0.8</v>
      </c>
      <c r="R190" s="7"/>
      <c r="S190" s="7"/>
    </row>
    <row r="191" spans="1:19">
      <c r="A191" s="7"/>
      <c r="B191" s="7"/>
      <c r="E191" s="162" t="s">
        <v>1152</v>
      </c>
      <c r="F191" s="32">
        <v>4</v>
      </c>
      <c r="G191" s="64">
        <f t="shared" si="23"/>
        <v>1</v>
      </c>
      <c r="H191" s="10"/>
      <c r="I191" s="10"/>
      <c r="J191" s="13">
        <v>0</v>
      </c>
      <c r="K191" s="30">
        <f t="shared" si="20"/>
        <v>0</v>
      </c>
      <c r="L191" s="30">
        <f t="shared" si="19"/>
        <v>0</v>
      </c>
      <c r="R191" s="7"/>
      <c r="S191" s="7"/>
    </row>
    <row r="192" spans="1:19">
      <c r="A192" s="7"/>
      <c r="B192" s="7"/>
      <c r="E192" s="162" t="s">
        <v>1145</v>
      </c>
      <c r="F192" s="32">
        <v>4.4000000000000004</v>
      </c>
      <c r="G192" s="64">
        <f t="shared" si="23"/>
        <v>1.1000000000000001</v>
      </c>
      <c r="H192" s="10" t="s">
        <v>23</v>
      </c>
      <c r="I192" s="10">
        <v>5</v>
      </c>
      <c r="J192" s="18">
        <f>G192/70</f>
        <v>1.5714285714285715E-2</v>
      </c>
      <c r="K192" s="30">
        <f t="shared" si="20"/>
        <v>0.12392969806219017</v>
      </c>
      <c r="L192" s="30">
        <f t="shared" si="19"/>
        <v>0.61964849031095093</v>
      </c>
      <c r="R192" s="7"/>
      <c r="S192" s="7"/>
    </row>
    <row r="193" spans="1:19">
      <c r="E193" s="162" t="s">
        <v>1117</v>
      </c>
      <c r="F193" s="32">
        <v>7</v>
      </c>
      <c r="G193" s="64">
        <f t="shared" si="23"/>
        <v>1.75</v>
      </c>
      <c r="H193" s="10" t="s">
        <v>14</v>
      </c>
      <c r="I193" s="10">
        <v>5</v>
      </c>
      <c r="J193" s="13">
        <f>G194/40</f>
        <v>3.4375000000000003E-2</v>
      </c>
      <c r="K193" s="30">
        <f t="shared" si="20"/>
        <v>0.27109621451104104</v>
      </c>
      <c r="L193" s="30">
        <f t="shared" si="19"/>
        <v>1.3554810725552051</v>
      </c>
      <c r="R193" s="7"/>
      <c r="S193" s="7"/>
    </row>
    <row r="194" spans="1:19">
      <c r="E194" s="162" t="s">
        <v>1119</v>
      </c>
      <c r="F194" s="32">
        <v>5.5</v>
      </c>
      <c r="G194" s="64">
        <f t="shared" si="23"/>
        <v>1.375</v>
      </c>
      <c r="H194" s="10" t="s">
        <v>16</v>
      </c>
      <c r="I194" s="10">
        <v>5</v>
      </c>
      <c r="J194" s="13">
        <f>G194/7</f>
        <v>0.19642857142857142</v>
      </c>
      <c r="K194" s="30">
        <f t="shared" si="20"/>
        <v>1.5491212257773772</v>
      </c>
      <c r="L194" s="30">
        <f t="shared" si="19"/>
        <v>7.7456061288868856</v>
      </c>
    </row>
    <row r="195" spans="1:19">
      <c r="E195" s="162" t="s">
        <v>1137</v>
      </c>
      <c r="F195" s="32">
        <v>2</v>
      </c>
      <c r="G195" s="64">
        <f t="shared" si="23"/>
        <v>0.5</v>
      </c>
      <c r="H195" s="10" t="s">
        <v>140</v>
      </c>
      <c r="I195" s="9">
        <v>2</v>
      </c>
      <c r="J195" s="13">
        <f>G196/8</f>
        <v>0.46875</v>
      </c>
      <c r="K195" s="30">
        <f t="shared" si="20"/>
        <v>3.6967665615141954</v>
      </c>
      <c r="L195" s="30">
        <f t="shared" si="19"/>
        <v>7.3935331230283907</v>
      </c>
      <c r="Q195" s="21">
        <f>G195*53.8/100</f>
        <v>0.26899999999999996</v>
      </c>
    </row>
    <row r="196" spans="1:19">
      <c r="E196" s="163" t="s">
        <v>1175</v>
      </c>
      <c r="F196" s="29">
        <v>15</v>
      </c>
      <c r="G196" s="64">
        <f t="shared" si="23"/>
        <v>3.75</v>
      </c>
      <c r="J196" s="18">
        <v>0</v>
      </c>
      <c r="K196" s="30">
        <f t="shared" si="20"/>
        <v>0</v>
      </c>
      <c r="L196" s="30">
        <f t="shared" si="19"/>
        <v>0</v>
      </c>
    </row>
    <row r="197" spans="1:19" ht="17.25" thickBot="1">
      <c r="A197" s="37"/>
      <c r="B197" s="37"/>
      <c r="C197" s="37"/>
      <c r="D197" s="40"/>
      <c r="E197" s="165"/>
      <c r="F197" s="37"/>
      <c r="G197" s="68"/>
      <c r="H197" s="37"/>
      <c r="I197" s="39"/>
      <c r="J197" s="26">
        <f>SUM(J169:J196)</f>
        <v>12.682232142857142</v>
      </c>
      <c r="K197" s="38">
        <f>SUM(K169:K196)</f>
        <v>100.01760365029293</v>
      </c>
      <c r="L197" s="38"/>
      <c r="M197" s="38">
        <f>SUM(L169:L196)</f>
        <v>309.82776588553395</v>
      </c>
      <c r="N197" s="37" t="s">
        <v>36</v>
      </c>
      <c r="O197" s="37" t="s">
        <v>13</v>
      </c>
      <c r="P197" s="27">
        <f>SUM(P169:P196)</f>
        <v>5.78</v>
      </c>
      <c r="Q197" s="28">
        <f>SUM(Q169:Q196)</f>
        <v>8.9725000000000001</v>
      </c>
    </row>
    <row r="199" spans="1:19">
      <c r="A199" s="29">
        <v>6</v>
      </c>
      <c r="B199" s="7" t="s">
        <v>44</v>
      </c>
      <c r="C199" s="166" t="s">
        <v>1067</v>
      </c>
      <c r="D199" s="162" t="s">
        <v>1310</v>
      </c>
      <c r="E199" s="163" t="s">
        <v>1176</v>
      </c>
      <c r="F199" s="29">
        <v>2200</v>
      </c>
      <c r="G199" s="64">
        <f t="shared" ref="G199:G208" si="24">F199/4</f>
        <v>550</v>
      </c>
      <c r="H199" s="10" t="s">
        <v>27</v>
      </c>
      <c r="I199" s="9">
        <v>3</v>
      </c>
      <c r="J199" s="18">
        <f>G199/40</f>
        <v>13.75</v>
      </c>
      <c r="K199" s="30">
        <f>J199/18.59*100</f>
        <v>73.964497041420117</v>
      </c>
      <c r="L199" s="30">
        <f>K199*I199</f>
        <v>221.89349112426035</v>
      </c>
    </row>
    <row r="200" spans="1:19">
      <c r="B200" s="7"/>
      <c r="E200" s="162" t="s">
        <v>1177</v>
      </c>
      <c r="F200" s="32">
        <v>180</v>
      </c>
      <c r="G200" s="64">
        <f t="shared" si="24"/>
        <v>45</v>
      </c>
      <c r="H200" s="10" t="s">
        <v>15</v>
      </c>
      <c r="I200" s="9">
        <v>2</v>
      </c>
      <c r="J200" s="13">
        <f>G200/30</f>
        <v>1.5</v>
      </c>
      <c r="K200" s="30">
        <f t="shared" ref="K200:K217" si="25">J200/18.59*100</f>
        <v>8.0688542227003772</v>
      </c>
      <c r="L200" s="30">
        <f t="shared" ref="L200:L217" si="26">K200*I200</f>
        <v>16.137708445400754</v>
      </c>
      <c r="P200" s="23"/>
    </row>
    <row r="201" spans="1:19">
      <c r="C201" s="163"/>
      <c r="E201" s="162" t="s">
        <v>1178</v>
      </c>
      <c r="F201" s="32">
        <v>20</v>
      </c>
      <c r="G201" s="64">
        <f t="shared" si="24"/>
        <v>5</v>
      </c>
      <c r="H201" s="10" t="s">
        <v>23</v>
      </c>
      <c r="I201" s="10">
        <v>5</v>
      </c>
      <c r="J201" s="13">
        <v>0</v>
      </c>
      <c r="K201" s="30">
        <f t="shared" si="25"/>
        <v>0</v>
      </c>
      <c r="L201" s="30">
        <f t="shared" si="26"/>
        <v>0</v>
      </c>
    </row>
    <row r="202" spans="1:19">
      <c r="A202" s="7"/>
      <c r="B202" s="7"/>
      <c r="E202" s="162" t="s">
        <v>1179</v>
      </c>
      <c r="F202" s="32">
        <v>40</v>
      </c>
      <c r="G202" s="64">
        <f t="shared" si="24"/>
        <v>10</v>
      </c>
      <c r="H202" s="10" t="s">
        <v>23</v>
      </c>
      <c r="I202" s="10">
        <v>5</v>
      </c>
      <c r="J202" s="13">
        <f>G202/20</f>
        <v>0.5</v>
      </c>
      <c r="K202" s="30">
        <f t="shared" si="25"/>
        <v>2.6896180742334588</v>
      </c>
      <c r="L202" s="30">
        <f t="shared" si="26"/>
        <v>13.448090371167293</v>
      </c>
      <c r="R202" s="7"/>
      <c r="S202" s="7"/>
    </row>
    <row r="203" spans="1:19">
      <c r="A203" s="7"/>
      <c r="B203" s="7"/>
      <c r="E203" s="162" t="s">
        <v>1120</v>
      </c>
      <c r="F203" s="32">
        <v>20</v>
      </c>
      <c r="G203" s="64">
        <f t="shared" si="24"/>
        <v>5</v>
      </c>
      <c r="H203" s="10" t="s">
        <v>16</v>
      </c>
      <c r="I203" s="10">
        <v>5</v>
      </c>
      <c r="J203" s="13">
        <f>G203/7</f>
        <v>0.7142857142857143</v>
      </c>
      <c r="K203" s="30">
        <f t="shared" si="25"/>
        <v>3.8423115346192271</v>
      </c>
      <c r="L203" s="30">
        <f t="shared" si="26"/>
        <v>19.211557673096134</v>
      </c>
      <c r="R203" s="7" t="s">
        <v>45</v>
      </c>
      <c r="S203" s="7"/>
    </row>
    <row r="204" spans="1:19">
      <c r="A204" s="7"/>
      <c r="B204" s="7"/>
      <c r="E204" s="162" t="s">
        <v>1180</v>
      </c>
      <c r="F204" s="32">
        <v>16</v>
      </c>
      <c r="G204" s="64">
        <f t="shared" si="24"/>
        <v>4</v>
      </c>
      <c r="H204" s="10" t="s">
        <v>18</v>
      </c>
      <c r="I204" s="9">
        <v>5</v>
      </c>
      <c r="J204" s="13">
        <f>G205/15</f>
        <v>0.33333333333333331</v>
      </c>
      <c r="K204" s="30">
        <f t="shared" si="25"/>
        <v>1.793078716155639</v>
      </c>
      <c r="L204" s="30">
        <f t="shared" si="26"/>
        <v>8.9653935807781941</v>
      </c>
      <c r="R204" s="7"/>
      <c r="S204" s="7"/>
    </row>
    <row r="205" spans="1:19">
      <c r="E205" s="162" t="s">
        <v>1116</v>
      </c>
      <c r="F205" s="32">
        <v>20</v>
      </c>
      <c r="G205" s="64">
        <f t="shared" si="24"/>
        <v>5</v>
      </c>
      <c r="H205" s="10" t="s">
        <v>14</v>
      </c>
      <c r="I205" s="10">
        <v>5</v>
      </c>
      <c r="J205" s="13">
        <f>G206/40</f>
        <v>3.7499999999999999E-2</v>
      </c>
      <c r="K205" s="30">
        <f t="shared" si="25"/>
        <v>0.20172135556750939</v>
      </c>
      <c r="L205" s="30">
        <f t="shared" si="26"/>
        <v>1.0086067778375469</v>
      </c>
      <c r="R205" s="7"/>
      <c r="S205" s="7"/>
    </row>
    <row r="206" spans="1:19">
      <c r="E206" s="162" t="s">
        <v>1133</v>
      </c>
      <c r="F206" s="32">
        <v>6</v>
      </c>
      <c r="G206" s="64">
        <f t="shared" si="24"/>
        <v>1.5</v>
      </c>
      <c r="H206" s="10"/>
      <c r="I206" s="10"/>
      <c r="J206" s="13">
        <v>0</v>
      </c>
      <c r="K206" s="30">
        <f t="shared" si="25"/>
        <v>0</v>
      </c>
      <c r="L206" s="30">
        <f t="shared" si="26"/>
        <v>0</v>
      </c>
      <c r="P206" s="20">
        <v>1.5</v>
      </c>
    </row>
    <row r="207" spans="1:19">
      <c r="E207" s="162" t="s">
        <v>418</v>
      </c>
      <c r="F207" s="32">
        <v>60</v>
      </c>
      <c r="G207" s="64">
        <f t="shared" si="24"/>
        <v>15</v>
      </c>
      <c r="H207" s="10" t="s">
        <v>30</v>
      </c>
      <c r="I207" s="9">
        <v>2</v>
      </c>
      <c r="J207" s="13">
        <f>G207/55</f>
        <v>0.27272727272727271</v>
      </c>
      <c r="K207" s="30">
        <f t="shared" si="25"/>
        <v>1.4670644041273411</v>
      </c>
      <c r="L207" s="30">
        <f t="shared" si="26"/>
        <v>2.9341288082546821</v>
      </c>
    </row>
    <row r="208" spans="1:19">
      <c r="E208" s="162" t="s">
        <v>1129</v>
      </c>
      <c r="F208" s="32">
        <v>6.5</v>
      </c>
      <c r="G208" s="64">
        <f t="shared" si="24"/>
        <v>1.625</v>
      </c>
      <c r="H208" s="10"/>
      <c r="I208" s="10"/>
      <c r="J208" s="13">
        <v>0</v>
      </c>
      <c r="K208" s="30">
        <f t="shared" si="25"/>
        <v>0</v>
      </c>
      <c r="L208" s="30">
        <f t="shared" si="26"/>
        <v>0</v>
      </c>
      <c r="Q208" s="21">
        <v>1.6</v>
      </c>
    </row>
    <row r="209" spans="1:17">
      <c r="C209" s="166" t="s">
        <v>1068</v>
      </c>
      <c r="D209" s="162" t="s">
        <v>1310</v>
      </c>
      <c r="E209" s="163" t="s">
        <v>1139</v>
      </c>
      <c r="F209" s="29">
        <v>1500</v>
      </c>
      <c r="G209" s="64">
        <f>F209/20</f>
        <v>75</v>
      </c>
      <c r="H209" s="10" t="s">
        <v>23</v>
      </c>
      <c r="I209" s="10">
        <v>5</v>
      </c>
      <c r="J209" s="18">
        <f>G209/70</f>
        <v>1.0714285714285714</v>
      </c>
      <c r="K209" s="30">
        <f t="shared" si="25"/>
        <v>5.7634673019288405</v>
      </c>
      <c r="L209" s="30">
        <f t="shared" si="26"/>
        <v>28.817336509644203</v>
      </c>
    </row>
    <row r="210" spans="1:17">
      <c r="E210" s="163" t="s">
        <v>1133</v>
      </c>
      <c r="F210" s="29">
        <v>24</v>
      </c>
      <c r="G210" s="64">
        <f t="shared" ref="G210:G217" si="27">F210/20</f>
        <v>1.2</v>
      </c>
      <c r="J210" s="18">
        <v>0</v>
      </c>
      <c r="K210" s="30">
        <f t="shared" si="25"/>
        <v>0</v>
      </c>
      <c r="L210" s="30">
        <f t="shared" si="26"/>
        <v>0</v>
      </c>
      <c r="P210" s="20">
        <v>1.2</v>
      </c>
    </row>
    <row r="211" spans="1:17">
      <c r="E211" s="163" t="s">
        <v>1152</v>
      </c>
      <c r="F211" s="29">
        <v>6</v>
      </c>
      <c r="G211" s="64">
        <f t="shared" si="27"/>
        <v>0.3</v>
      </c>
      <c r="J211" s="18">
        <v>0</v>
      </c>
      <c r="K211" s="30">
        <f t="shared" si="25"/>
        <v>0</v>
      </c>
      <c r="L211" s="30">
        <f t="shared" si="26"/>
        <v>0</v>
      </c>
    </row>
    <row r="212" spans="1:17">
      <c r="E212" s="163" t="s">
        <v>1145</v>
      </c>
      <c r="F212" s="29">
        <v>42</v>
      </c>
      <c r="G212" s="64">
        <f t="shared" si="27"/>
        <v>2.1</v>
      </c>
      <c r="H212" s="10" t="s">
        <v>23</v>
      </c>
      <c r="I212" s="10">
        <v>5</v>
      </c>
      <c r="J212" s="18">
        <f>G212/70</f>
        <v>3.0000000000000002E-2</v>
      </c>
      <c r="K212" s="30">
        <f t="shared" si="25"/>
        <v>0.16137708445400756</v>
      </c>
      <c r="L212" s="30">
        <f t="shared" si="26"/>
        <v>0.80688542227003779</v>
      </c>
    </row>
    <row r="213" spans="1:17">
      <c r="E213" s="163" t="s">
        <v>1147</v>
      </c>
      <c r="F213" s="29">
        <v>60</v>
      </c>
      <c r="G213" s="64">
        <f t="shared" si="27"/>
        <v>3</v>
      </c>
      <c r="J213" s="18">
        <v>0</v>
      </c>
      <c r="K213" s="30">
        <f t="shared" si="25"/>
        <v>0</v>
      </c>
      <c r="L213" s="30">
        <f t="shared" si="26"/>
        <v>0</v>
      </c>
      <c r="P213" s="20">
        <f>G213*5/100</f>
        <v>0.15</v>
      </c>
    </row>
    <row r="214" spans="1:17">
      <c r="E214" s="163" t="s">
        <v>1057</v>
      </c>
      <c r="F214" s="29">
        <v>24</v>
      </c>
      <c r="G214" s="64">
        <f t="shared" si="27"/>
        <v>1.2</v>
      </c>
      <c r="H214" s="10" t="s">
        <v>16</v>
      </c>
      <c r="I214" s="10">
        <v>5</v>
      </c>
      <c r="J214" s="18">
        <f>G214/7</f>
        <v>0.17142857142857143</v>
      </c>
      <c r="K214" s="30">
        <f t="shared" si="25"/>
        <v>0.92215476830861454</v>
      </c>
      <c r="L214" s="30">
        <f t="shared" si="26"/>
        <v>4.6107738415430726</v>
      </c>
    </row>
    <row r="215" spans="1:17">
      <c r="E215" s="163" t="s">
        <v>1144</v>
      </c>
      <c r="F215" s="29">
        <v>8</v>
      </c>
      <c r="G215" s="64">
        <f t="shared" si="27"/>
        <v>0.4</v>
      </c>
      <c r="H215" s="10" t="s">
        <v>23</v>
      </c>
      <c r="I215" s="10">
        <v>5</v>
      </c>
      <c r="J215" s="18">
        <f>G215/34</f>
        <v>1.1764705882352941E-2</v>
      </c>
      <c r="K215" s="30">
        <f t="shared" si="25"/>
        <v>6.3285131158434316E-2</v>
      </c>
      <c r="L215" s="30">
        <f t="shared" si="26"/>
        <v>0.31642565579217158</v>
      </c>
    </row>
    <row r="216" spans="1:17">
      <c r="E216" s="163" t="s">
        <v>1157</v>
      </c>
      <c r="F216" s="29">
        <v>100</v>
      </c>
      <c r="G216" s="64">
        <f t="shared" si="27"/>
        <v>5</v>
      </c>
      <c r="H216" s="10" t="s">
        <v>14</v>
      </c>
      <c r="I216" s="10">
        <v>5</v>
      </c>
      <c r="J216" s="18">
        <f>G216/40</f>
        <v>0.125</v>
      </c>
      <c r="K216" s="30">
        <f t="shared" si="25"/>
        <v>0.67240451855836469</v>
      </c>
      <c r="L216" s="30">
        <f t="shared" si="26"/>
        <v>3.3620225927918233</v>
      </c>
    </row>
    <row r="217" spans="1:17">
      <c r="E217" s="163" t="s">
        <v>1140</v>
      </c>
      <c r="F217" s="29">
        <v>100</v>
      </c>
      <c r="G217" s="64">
        <f t="shared" si="27"/>
        <v>5</v>
      </c>
      <c r="H217" s="10" t="s">
        <v>23</v>
      </c>
      <c r="I217" s="10">
        <v>5</v>
      </c>
      <c r="J217" s="18">
        <f>G217/70</f>
        <v>7.1428571428571425E-2</v>
      </c>
      <c r="K217" s="30">
        <f t="shared" si="25"/>
        <v>0.38423115346192266</v>
      </c>
      <c r="L217" s="30">
        <f t="shared" si="26"/>
        <v>1.9211557673096133</v>
      </c>
    </row>
    <row r="218" spans="1:17" ht="17.25" thickBot="1">
      <c r="A218" s="37"/>
      <c r="B218" s="37"/>
      <c r="C218" s="37"/>
      <c r="D218" s="40"/>
      <c r="E218" s="165"/>
      <c r="F218" s="37"/>
      <c r="G218" s="68"/>
      <c r="H218" s="37"/>
      <c r="I218" s="39"/>
      <c r="J218" s="26">
        <f>SUM(J199:J217)</f>
        <v>18.588896740514393</v>
      </c>
      <c r="K218" s="38">
        <f>SUM(K199:K217)</f>
        <v>99.994065306693869</v>
      </c>
      <c r="L218" s="38"/>
      <c r="M218" s="38">
        <f>SUM(L199:L217)</f>
        <v>323.43357657014582</v>
      </c>
      <c r="N218" s="37" t="s">
        <v>36</v>
      </c>
      <c r="O218" s="37" t="s">
        <v>46</v>
      </c>
      <c r="P218" s="27">
        <f>SUM(P200:P217)</f>
        <v>2.85</v>
      </c>
      <c r="Q218" s="28">
        <f>SUM(Q200:Q217)</f>
        <v>1.6</v>
      </c>
    </row>
    <row r="220" spans="1:17">
      <c r="A220" s="22">
        <v>7</v>
      </c>
      <c r="B220" s="7" t="s">
        <v>54</v>
      </c>
      <c r="C220" s="166" t="s">
        <v>1069</v>
      </c>
      <c r="D220" s="162" t="s">
        <v>1313</v>
      </c>
      <c r="E220" s="163" t="s">
        <v>1114</v>
      </c>
      <c r="F220" s="29">
        <v>450</v>
      </c>
      <c r="G220" s="64">
        <f>F220/4</f>
        <v>112.5</v>
      </c>
      <c r="H220" s="10" t="s">
        <v>15</v>
      </c>
      <c r="I220" s="9">
        <v>2</v>
      </c>
      <c r="J220" s="13">
        <f>G220/30</f>
        <v>3.75</v>
      </c>
      <c r="K220" s="30">
        <f>J220/12.38*100</f>
        <v>30.290791599353796</v>
      </c>
      <c r="L220" s="30">
        <f t="shared" ref="L220:L253" si="28">K220*I220</f>
        <v>60.581583198707591</v>
      </c>
    </row>
    <row r="221" spans="1:17">
      <c r="A221" s="22"/>
      <c r="B221" s="7"/>
      <c r="C221" s="42"/>
      <c r="E221" s="163" t="s">
        <v>1221</v>
      </c>
      <c r="F221" s="29">
        <v>300</v>
      </c>
      <c r="G221" s="64">
        <f t="shared" ref="G221:G234" si="29">F221/4</f>
        <v>75</v>
      </c>
      <c r="H221" s="10" t="s">
        <v>26</v>
      </c>
      <c r="I221" s="9">
        <v>4</v>
      </c>
      <c r="J221" s="13">
        <f>G221/70</f>
        <v>1.0714285714285714</v>
      </c>
      <c r="K221" s="30">
        <f t="shared" ref="K221:K253" si="30">J221/12.38*100</f>
        <v>8.6545118855296561</v>
      </c>
      <c r="L221" s="30">
        <f t="shared" si="28"/>
        <v>34.618047542118624</v>
      </c>
    </row>
    <row r="222" spans="1:17">
      <c r="A222" s="22"/>
      <c r="B222" s="7"/>
      <c r="C222" s="42"/>
      <c r="E222" s="163" t="s">
        <v>1133</v>
      </c>
      <c r="F222" s="29">
        <v>5</v>
      </c>
      <c r="G222" s="64">
        <f t="shared" si="29"/>
        <v>1.25</v>
      </c>
      <c r="H222" s="10"/>
      <c r="I222" s="10"/>
      <c r="J222" s="13">
        <v>0</v>
      </c>
      <c r="K222" s="30">
        <f t="shared" si="30"/>
        <v>0</v>
      </c>
      <c r="L222" s="30">
        <f t="shared" si="28"/>
        <v>0</v>
      </c>
      <c r="P222" s="20">
        <v>1.3</v>
      </c>
    </row>
    <row r="223" spans="1:17">
      <c r="A223" s="22"/>
      <c r="B223" s="7"/>
      <c r="C223" s="159"/>
      <c r="E223" s="167" t="s">
        <v>1182</v>
      </c>
      <c r="F223" s="29">
        <v>200</v>
      </c>
      <c r="G223" s="64">
        <f t="shared" si="29"/>
        <v>50</v>
      </c>
      <c r="H223" s="10" t="s">
        <v>23</v>
      </c>
      <c r="I223" s="10">
        <v>5</v>
      </c>
      <c r="J223" s="13">
        <f>G223/40</f>
        <v>1.25</v>
      </c>
      <c r="K223" s="30">
        <f t="shared" si="30"/>
        <v>10.096930533117931</v>
      </c>
      <c r="L223" s="30">
        <f t="shared" si="28"/>
        <v>50.48465266558965</v>
      </c>
    </row>
    <row r="224" spans="1:17">
      <c r="A224" s="22"/>
      <c r="B224" s="7"/>
      <c r="C224" s="42"/>
      <c r="E224" s="163" t="s">
        <v>1183</v>
      </c>
      <c r="F224" s="29">
        <v>140</v>
      </c>
      <c r="G224" s="64">
        <f t="shared" si="29"/>
        <v>35</v>
      </c>
      <c r="H224" s="10" t="s">
        <v>17</v>
      </c>
      <c r="I224" s="9">
        <v>1</v>
      </c>
      <c r="J224" s="13">
        <f>G224/40</f>
        <v>0.875</v>
      </c>
      <c r="K224" s="30">
        <f t="shared" si="30"/>
        <v>7.0678513731825516</v>
      </c>
      <c r="L224" s="30">
        <f t="shared" si="28"/>
        <v>7.0678513731825516</v>
      </c>
    </row>
    <row r="225" spans="1:17">
      <c r="A225" s="22"/>
      <c r="B225" s="7"/>
      <c r="C225" s="42"/>
      <c r="E225" s="163" t="s">
        <v>1163</v>
      </c>
      <c r="F225" s="29">
        <v>200</v>
      </c>
      <c r="G225" s="64">
        <f t="shared" si="29"/>
        <v>50</v>
      </c>
      <c r="H225" s="10" t="s">
        <v>23</v>
      </c>
      <c r="I225" s="10">
        <v>5</v>
      </c>
      <c r="J225" s="13">
        <f>G225/70</f>
        <v>0.7142857142857143</v>
      </c>
      <c r="K225" s="30">
        <f t="shared" si="30"/>
        <v>5.7696745903531035</v>
      </c>
      <c r="L225" s="30">
        <f t="shared" si="28"/>
        <v>28.848372951765519</v>
      </c>
    </row>
    <row r="226" spans="1:17">
      <c r="A226" s="22"/>
      <c r="B226" s="7"/>
      <c r="C226" s="42"/>
      <c r="E226" s="163" t="s">
        <v>1151</v>
      </c>
      <c r="F226" s="29">
        <v>18</v>
      </c>
      <c r="G226" s="64">
        <f t="shared" si="29"/>
        <v>4.5</v>
      </c>
      <c r="H226" s="10"/>
      <c r="I226" s="10"/>
      <c r="J226" s="13">
        <v>0</v>
      </c>
      <c r="K226" s="30">
        <f t="shared" si="30"/>
        <v>0</v>
      </c>
      <c r="L226" s="30">
        <f t="shared" si="28"/>
        <v>0</v>
      </c>
      <c r="P226" s="23">
        <f>G226*16/100</f>
        <v>0.72</v>
      </c>
    </row>
    <row r="227" spans="1:17">
      <c r="A227" s="22"/>
      <c r="B227" s="7"/>
      <c r="C227" s="42"/>
      <c r="E227" s="163" t="s">
        <v>1152</v>
      </c>
      <c r="F227" s="29">
        <v>18</v>
      </c>
      <c r="G227" s="64">
        <f t="shared" si="29"/>
        <v>4.5</v>
      </c>
      <c r="H227" s="10"/>
      <c r="I227" s="10"/>
      <c r="J227" s="13">
        <v>0</v>
      </c>
      <c r="K227" s="30">
        <f t="shared" si="30"/>
        <v>0</v>
      </c>
      <c r="L227" s="30">
        <f t="shared" si="28"/>
        <v>0</v>
      </c>
    </row>
    <row r="228" spans="1:17">
      <c r="A228" s="22"/>
      <c r="B228" s="7"/>
      <c r="C228" s="42"/>
      <c r="E228" s="163" t="s">
        <v>1117</v>
      </c>
      <c r="F228" s="29">
        <v>18</v>
      </c>
      <c r="G228" s="64">
        <f t="shared" si="29"/>
        <v>4.5</v>
      </c>
      <c r="H228" s="10" t="s">
        <v>14</v>
      </c>
      <c r="I228" s="10">
        <v>5</v>
      </c>
      <c r="J228" s="13">
        <f>G228/40</f>
        <v>0.1125</v>
      </c>
      <c r="K228" s="30">
        <f t="shared" si="30"/>
        <v>0.90872374798061395</v>
      </c>
      <c r="L228" s="30">
        <f t="shared" si="28"/>
        <v>4.5436187399030699</v>
      </c>
    </row>
    <row r="229" spans="1:17">
      <c r="A229" s="22"/>
      <c r="B229" s="7"/>
      <c r="C229" s="42"/>
      <c r="E229" s="163" t="s">
        <v>1057</v>
      </c>
      <c r="F229" s="29">
        <v>11</v>
      </c>
      <c r="G229" s="64">
        <f t="shared" si="29"/>
        <v>2.75</v>
      </c>
      <c r="H229" s="10" t="s">
        <v>16</v>
      </c>
      <c r="I229" s="10">
        <v>5</v>
      </c>
      <c r="J229" s="13">
        <f>G229/7</f>
        <v>0.39285714285714285</v>
      </c>
      <c r="K229" s="30">
        <f t="shared" si="30"/>
        <v>3.1733210246942067</v>
      </c>
      <c r="L229" s="30">
        <f t="shared" si="28"/>
        <v>15.866605123471034</v>
      </c>
    </row>
    <row r="230" spans="1:17">
      <c r="A230" s="22"/>
      <c r="B230" s="7"/>
      <c r="C230" s="42"/>
      <c r="E230" s="163" t="s">
        <v>1155</v>
      </c>
      <c r="F230" s="29">
        <v>2</v>
      </c>
      <c r="G230" s="64">
        <f t="shared" si="29"/>
        <v>0.5</v>
      </c>
      <c r="H230" s="10" t="s">
        <v>141</v>
      </c>
      <c r="I230" s="9">
        <v>2</v>
      </c>
      <c r="J230" s="13">
        <f>G230/8</f>
        <v>6.25E-2</v>
      </c>
      <c r="K230" s="30">
        <f t="shared" si="30"/>
        <v>0.50484652665589658</v>
      </c>
      <c r="L230" s="30">
        <f t="shared" si="28"/>
        <v>1.0096930533117932</v>
      </c>
      <c r="Q230" s="21">
        <f>G230*53.8/100</f>
        <v>0.26899999999999996</v>
      </c>
    </row>
    <row r="231" spans="1:17">
      <c r="A231" s="22"/>
      <c r="B231" s="7"/>
      <c r="C231" s="42"/>
      <c r="E231" s="163" t="s">
        <v>1132</v>
      </c>
      <c r="F231" s="29">
        <v>23.5</v>
      </c>
      <c r="G231" s="64">
        <f t="shared" si="29"/>
        <v>5.875</v>
      </c>
      <c r="H231" s="10"/>
      <c r="I231" s="10"/>
      <c r="J231" s="13">
        <v>0</v>
      </c>
      <c r="K231" s="30">
        <f t="shared" si="30"/>
        <v>0</v>
      </c>
      <c r="L231" s="30">
        <f t="shared" si="28"/>
        <v>0</v>
      </c>
      <c r="Q231" s="21">
        <v>5.9</v>
      </c>
    </row>
    <row r="232" spans="1:17">
      <c r="A232" s="22"/>
      <c r="B232" s="7"/>
      <c r="C232" s="42"/>
      <c r="E232" s="163" t="s">
        <v>418</v>
      </c>
      <c r="F232" s="29">
        <v>120</v>
      </c>
      <c r="G232" s="64">
        <f t="shared" si="29"/>
        <v>30</v>
      </c>
      <c r="H232" s="10" t="s">
        <v>55</v>
      </c>
      <c r="I232" s="9">
        <v>2</v>
      </c>
      <c r="J232" s="13">
        <f>G232/55</f>
        <v>0.54545454545454541</v>
      </c>
      <c r="K232" s="30">
        <f t="shared" si="30"/>
        <v>4.4059333235423699</v>
      </c>
      <c r="L232" s="30">
        <f t="shared" si="28"/>
        <v>8.8118666470847398</v>
      </c>
    </row>
    <row r="233" spans="1:17">
      <c r="A233" s="22"/>
      <c r="B233" s="7"/>
      <c r="C233" s="42"/>
      <c r="E233" s="163" t="s">
        <v>1129</v>
      </c>
      <c r="F233" s="29">
        <v>26</v>
      </c>
      <c r="G233" s="64">
        <f t="shared" si="29"/>
        <v>6.5</v>
      </c>
      <c r="H233" s="10"/>
      <c r="I233" s="10"/>
      <c r="J233" s="13">
        <v>0</v>
      </c>
      <c r="K233" s="30">
        <f t="shared" si="30"/>
        <v>0</v>
      </c>
      <c r="L233" s="30">
        <f t="shared" si="28"/>
        <v>0</v>
      </c>
      <c r="Q233" s="21">
        <v>6.5</v>
      </c>
    </row>
    <row r="234" spans="1:17">
      <c r="A234" s="22"/>
      <c r="B234" s="7"/>
      <c r="C234" s="42"/>
      <c r="E234" s="163" t="s">
        <v>1160</v>
      </c>
      <c r="F234" s="29">
        <v>95</v>
      </c>
      <c r="G234" s="64">
        <f t="shared" si="29"/>
        <v>23.75</v>
      </c>
      <c r="H234" s="10"/>
      <c r="I234" s="10"/>
      <c r="J234" s="13">
        <v>0</v>
      </c>
      <c r="K234" s="30">
        <f t="shared" si="30"/>
        <v>0</v>
      </c>
      <c r="L234" s="30">
        <f t="shared" si="28"/>
        <v>0</v>
      </c>
      <c r="P234" s="20">
        <f>G234*7/100</f>
        <v>1.6625000000000001</v>
      </c>
    </row>
    <row r="235" spans="1:17">
      <c r="A235" s="22"/>
      <c r="C235" s="161" t="s">
        <v>1070</v>
      </c>
      <c r="D235" s="162" t="s">
        <v>1313</v>
      </c>
      <c r="E235" s="163" t="s">
        <v>1170</v>
      </c>
      <c r="F235" s="29">
        <v>300</v>
      </c>
      <c r="G235" s="64">
        <f t="shared" ref="G235:G236" si="31">F235/4</f>
        <v>75</v>
      </c>
      <c r="H235" s="10" t="s">
        <v>17</v>
      </c>
      <c r="I235" s="9">
        <v>1</v>
      </c>
      <c r="J235" s="18">
        <f>G235/40</f>
        <v>1.875</v>
      </c>
      <c r="K235" s="30">
        <f t="shared" si="30"/>
        <v>15.145395799676898</v>
      </c>
      <c r="L235" s="30">
        <f t="shared" si="28"/>
        <v>15.145395799676898</v>
      </c>
    </row>
    <row r="236" spans="1:17">
      <c r="E236" s="162" t="s">
        <v>1116</v>
      </c>
      <c r="F236" s="31">
        <v>41.1</v>
      </c>
      <c r="G236" s="64">
        <f t="shared" si="31"/>
        <v>10.275</v>
      </c>
      <c r="H236" s="10" t="s">
        <v>14</v>
      </c>
      <c r="I236" s="10">
        <v>5</v>
      </c>
      <c r="J236" s="13">
        <f>G236/40</f>
        <v>0.25687500000000002</v>
      </c>
      <c r="K236" s="30">
        <f t="shared" si="30"/>
        <v>2.0749192245557353</v>
      </c>
      <c r="L236" s="30">
        <f t="shared" si="28"/>
        <v>10.374596122778676</v>
      </c>
    </row>
    <row r="237" spans="1:17">
      <c r="E237" s="163" t="s">
        <v>1057</v>
      </c>
      <c r="F237" s="29">
        <v>11.4</v>
      </c>
      <c r="G237" s="64">
        <f>F237/4</f>
        <v>2.85</v>
      </c>
      <c r="H237" s="10" t="s">
        <v>16</v>
      </c>
      <c r="I237" s="10">
        <v>5</v>
      </c>
      <c r="J237" s="13">
        <f>G237/7</f>
        <v>0.40714285714285714</v>
      </c>
      <c r="K237" s="30">
        <f t="shared" si="30"/>
        <v>3.288714516501269</v>
      </c>
      <c r="L237" s="30">
        <f t="shared" si="28"/>
        <v>16.443572582506345</v>
      </c>
    </row>
    <row r="238" spans="1:17">
      <c r="D238" s="42"/>
      <c r="E238" s="163" t="s">
        <v>1128</v>
      </c>
      <c r="F238" s="29">
        <v>6</v>
      </c>
      <c r="G238" s="66">
        <f t="shared" ref="G238:G240" si="32">F238/4</f>
        <v>1.5</v>
      </c>
      <c r="J238" s="18">
        <v>0</v>
      </c>
      <c r="K238" s="30">
        <f t="shared" si="30"/>
        <v>0</v>
      </c>
      <c r="L238" s="30">
        <f t="shared" si="28"/>
        <v>0</v>
      </c>
      <c r="P238" s="20">
        <f>G238*24/100</f>
        <v>0.36</v>
      </c>
    </row>
    <row r="239" spans="1:17">
      <c r="D239" s="42"/>
      <c r="E239" s="164" t="s">
        <v>1139</v>
      </c>
      <c r="F239" s="32">
        <v>300</v>
      </c>
      <c r="G239" s="64">
        <f t="shared" si="32"/>
        <v>75</v>
      </c>
      <c r="H239" s="10" t="s">
        <v>23</v>
      </c>
      <c r="I239" s="10">
        <v>5</v>
      </c>
      <c r="J239" s="13">
        <f>G239/70</f>
        <v>1.0714285714285714</v>
      </c>
      <c r="K239" s="30">
        <f t="shared" si="30"/>
        <v>8.6545118855296561</v>
      </c>
      <c r="L239" s="30">
        <f t="shared" si="28"/>
        <v>43.272559427648282</v>
      </c>
    </row>
    <row r="240" spans="1:17">
      <c r="E240" s="162" t="s">
        <v>1133</v>
      </c>
      <c r="F240" s="31">
        <v>6</v>
      </c>
      <c r="G240" s="64">
        <f t="shared" si="32"/>
        <v>1.5</v>
      </c>
      <c r="H240" s="10"/>
      <c r="I240" s="10"/>
      <c r="J240" s="13">
        <v>0</v>
      </c>
      <c r="K240" s="30">
        <f t="shared" si="30"/>
        <v>0</v>
      </c>
      <c r="L240" s="30">
        <f t="shared" si="28"/>
        <v>0</v>
      </c>
      <c r="P240" s="20">
        <v>1.5</v>
      </c>
    </row>
    <row r="241" spans="1:17">
      <c r="C241" s="163" t="s">
        <v>1049</v>
      </c>
      <c r="D241" s="162" t="s">
        <v>1310</v>
      </c>
      <c r="E241" s="162" t="s">
        <v>1138</v>
      </c>
      <c r="F241" s="31">
        <v>4800</v>
      </c>
      <c r="G241" s="66">
        <f>F241/60</f>
        <v>80</v>
      </c>
      <c r="H241" s="10" t="s">
        <v>91</v>
      </c>
      <c r="I241" s="9">
        <v>5</v>
      </c>
      <c r="J241" s="13">
        <f>G241/70</f>
        <v>1.1428571428571428</v>
      </c>
      <c r="K241" s="30">
        <f t="shared" si="30"/>
        <v>9.2314793445649652</v>
      </c>
      <c r="L241" s="30">
        <f t="shared" si="28"/>
        <v>46.157396722824828</v>
      </c>
    </row>
    <row r="242" spans="1:17">
      <c r="E242" s="162" t="s">
        <v>1139</v>
      </c>
      <c r="F242" s="31">
        <v>1000</v>
      </c>
      <c r="G242" s="66">
        <f t="shared" ref="G242:G249" si="33">F242/60</f>
        <v>16.666666666666668</v>
      </c>
      <c r="H242" s="10" t="s">
        <v>23</v>
      </c>
      <c r="I242" s="10">
        <v>5</v>
      </c>
      <c r="J242" s="13">
        <f>G242/70</f>
        <v>0.23809523809523811</v>
      </c>
      <c r="K242" s="30">
        <f t="shared" si="30"/>
        <v>1.9232248634510347</v>
      </c>
      <c r="L242" s="30">
        <f t="shared" si="28"/>
        <v>9.6161243172551742</v>
      </c>
    </row>
    <row r="243" spans="1:17">
      <c r="E243" s="162" t="s">
        <v>1140</v>
      </c>
      <c r="F243" s="31">
        <v>100</v>
      </c>
      <c r="G243" s="66">
        <f t="shared" si="33"/>
        <v>1.6666666666666667</v>
      </c>
      <c r="H243" s="10" t="s">
        <v>23</v>
      </c>
      <c r="I243" s="10">
        <v>5</v>
      </c>
      <c r="J243" s="13">
        <f>G243/70</f>
        <v>2.3809523809523812E-2</v>
      </c>
      <c r="K243" s="30">
        <f t="shared" si="30"/>
        <v>0.19232248634510346</v>
      </c>
      <c r="L243" s="30">
        <f t="shared" si="28"/>
        <v>0.96161243172551725</v>
      </c>
    </row>
    <row r="244" spans="1:17">
      <c r="E244" s="162" t="s">
        <v>1277</v>
      </c>
      <c r="F244" s="31">
        <v>200</v>
      </c>
      <c r="G244" s="66">
        <f t="shared" si="33"/>
        <v>3.3333333333333335</v>
      </c>
      <c r="H244" s="10" t="s">
        <v>14</v>
      </c>
      <c r="I244" s="10">
        <v>5</v>
      </c>
      <c r="J244" s="13">
        <f>G244/40</f>
        <v>8.3333333333333343E-2</v>
      </c>
      <c r="K244" s="30">
        <f t="shared" si="30"/>
        <v>0.67312870220786214</v>
      </c>
      <c r="L244" s="30">
        <f t="shared" si="28"/>
        <v>3.3656435110393108</v>
      </c>
    </row>
    <row r="245" spans="1:17">
      <c r="E245" s="162" t="s">
        <v>1142</v>
      </c>
      <c r="F245" s="31">
        <v>200</v>
      </c>
      <c r="G245" s="66">
        <f t="shared" si="33"/>
        <v>3.3333333333333335</v>
      </c>
      <c r="H245" s="10" t="s">
        <v>23</v>
      </c>
      <c r="I245" s="10">
        <v>5</v>
      </c>
      <c r="J245" s="13">
        <f>G245/40</f>
        <v>8.3333333333333343E-2</v>
      </c>
      <c r="K245" s="30">
        <f t="shared" si="30"/>
        <v>0.67312870220786214</v>
      </c>
      <c r="L245" s="30">
        <f t="shared" si="28"/>
        <v>3.3656435110393108</v>
      </c>
    </row>
    <row r="246" spans="1:17">
      <c r="E246" s="162" t="s">
        <v>1143</v>
      </c>
      <c r="F246" s="31">
        <v>200</v>
      </c>
      <c r="G246" s="66">
        <f t="shared" si="33"/>
        <v>3.3333333333333335</v>
      </c>
      <c r="H246" s="10" t="s">
        <v>21</v>
      </c>
      <c r="I246" s="10">
        <v>4</v>
      </c>
      <c r="J246" s="13">
        <v>0.05</v>
      </c>
      <c r="K246" s="30">
        <f t="shared" si="30"/>
        <v>0.40387722132471726</v>
      </c>
      <c r="L246" s="30">
        <f t="shared" si="28"/>
        <v>1.615508885298869</v>
      </c>
    </row>
    <row r="247" spans="1:17">
      <c r="E247" s="162" t="s">
        <v>1116</v>
      </c>
      <c r="F247" s="31">
        <v>200</v>
      </c>
      <c r="G247" s="66">
        <f t="shared" si="33"/>
        <v>3.3333333333333335</v>
      </c>
      <c r="H247" s="10" t="s">
        <v>14</v>
      </c>
      <c r="I247" s="10">
        <v>5</v>
      </c>
      <c r="J247" s="13">
        <f>G247/40</f>
        <v>8.3333333333333343E-2</v>
      </c>
      <c r="K247" s="30">
        <f t="shared" si="30"/>
        <v>0.67312870220786214</v>
      </c>
      <c r="L247" s="30">
        <f t="shared" si="28"/>
        <v>3.3656435110393108</v>
      </c>
    </row>
    <row r="248" spans="1:17">
      <c r="E248" s="162" t="s">
        <v>1121</v>
      </c>
      <c r="F248" s="31">
        <v>80</v>
      </c>
      <c r="G248" s="66">
        <f t="shared" si="33"/>
        <v>1.3333333333333333</v>
      </c>
      <c r="H248" s="10" t="s">
        <v>16</v>
      </c>
      <c r="I248" s="10">
        <v>5</v>
      </c>
      <c r="J248" s="13">
        <f>G248/7</f>
        <v>0.19047619047619047</v>
      </c>
      <c r="K248" s="30">
        <f t="shared" si="30"/>
        <v>1.5385798907608277</v>
      </c>
      <c r="L248" s="30">
        <f t="shared" si="28"/>
        <v>7.692899453804138</v>
      </c>
    </row>
    <row r="249" spans="1:17">
      <c r="E249" s="162" t="s">
        <v>1144</v>
      </c>
      <c r="F249" s="31">
        <v>36</v>
      </c>
      <c r="G249" s="66">
        <f t="shared" si="33"/>
        <v>0.6</v>
      </c>
      <c r="H249" s="10" t="s">
        <v>23</v>
      </c>
      <c r="I249" s="10">
        <v>5</v>
      </c>
      <c r="J249" s="13">
        <f>G249/34</f>
        <v>1.7647058823529412E-2</v>
      </c>
      <c r="K249" s="30">
        <f t="shared" si="30"/>
        <v>0.14254490164401784</v>
      </c>
      <c r="L249" s="30">
        <f t="shared" si="28"/>
        <v>0.71272450822008926</v>
      </c>
    </row>
    <row r="250" spans="1:17">
      <c r="E250" s="162" t="s">
        <v>1145</v>
      </c>
      <c r="F250" s="31">
        <v>130</v>
      </c>
      <c r="G250" s="66">
        <f>F250/60</f>
        <v>2.1666666666666665</v>
      </c>
      <c r="H250" s="10" t="s">
        <v>23</v>
      </c>
      <c r="I250" s="10">
        <v>5</v>
      </c>
      <c r="J250" s="13">
        <v>0</v>
      </c>
      <c r="K250" s="30">
        <f t="shared" si="30"/>
        <v>0</v>
      </c>
      <c r="L250" s="30">
        <f t="shared" si="28"/>
        <v>0</v>
      </c>
    </row>
    <row r="251" spans="1:17">
      <c r="E251" s="164" t="s">
        <v>1133</v>
      </c>
      <c r="F251" s="31"/>
      <c r="G251" s="66">
        <v>0.7</v>
      </c>
      <c r="J251" s="18">
        <v>0</v>
      </c>
      <c r="K251" s="30">
        <f t="shared" si="30"/>
        <v>0</v>
      </c>
      <c r="L251" s="30">
        <f t="shared" si="28"/>
        <v>0</v>
      </c>
      <c r="P251" s="20">
        <v>0.7</v>
      </c>
    </row>
    <row r="252" spans="1:17">
      <c r="E252" s="162" t="s">
        <v>1146</v>
      </c>
      <c r="F252" s="31">
        <v>100</v>
      </c>
      <c r="G252" s="66">
        <f>F252/60</f>
        <v>1.6666666666666667</v>
      </c>
      <c r="J252" s="18">
        <v>0</v>
      </c>
      <c r="K252" s="30">
        <f t="shared" si="30"/>
        <v>0</v>
      </c>
      <c r="L252" s="30">
        <f t="shared" si="28"/>
        <v>0</v>
      </c>
      <c r="P252" s="20">
        <f>G252*22/100</f>
        <v>0.3666666666666667</v>
      </c>
    </row>
    <row r="253" spans="1:17">
      <c r="E253" s="162" t="s">
        <v>1147</v>
      </c>
      <c r="F253" s="31">
        <v>100</v>
      </c>
      <c r="G253" s="66">
        <f>F253/60</f>
        <v>1.6666666666666667</v>
      </c>
      <c r="J253" s="18">
        <v>0</v>
      </c>
      <c r="K253" s="30">
        <f t="shared" si="30"/>
        <v>0</v>
      </c>
      <c r="L253" s="30">
        <f t="shared" si="28"/>
        <v>0</v>
      </c>
      <c r="P253" s="20">
        <f>5*G253/100</f>
        <v>8.3333333333333343E-2</v>
      </c>
    </row>
    <row r="254" spans="1:17" ht="17.25" thickBot="1">
      <c r="A254" s="37"/>
      <c r="B254" s="37"/>
      <c r="C254" s="37"/>
      <c r="D254" s="40"/>
      <c r="E254" s="165"/>
      <c r="F254" s="37"/>
      <c r="G254" s="68"/>
      <c r="H254" s="37"/>
      <c r="I254" s="39"/>
      <c r="J254" s="26">
        <f>SUM(J220:J239)</f>
        <v>12.384472402597401</v>
      </c>
      <c r="K254" s="38">
        <f>SUM(K220:K239)</f>
        <v>100.03612603067369</v>
      </c>
      <c r="L254" s="38"/>
      <c r="M254" s="38">
        <f>SUM(L220:L253)</f>
        <v>373.92161207999146</v>
      </c>
      <c r="N254" s="37" t="s">
        <v>36</v>
      </c>
      <c r="O254" s="37" t="s">
        <v>59</v>
      </c>
      <c r="P254" s="27">
        <f>SUM(P220:P253)</f>
        <v>6.6924999999999999</v>
      </c>
      <c r="Q254" s="28">
        <f>SUM(Q220:Q239)</f>
        <v>12.669</v>
      </c>
    </row>
    <row r="256" spans="1:17">
      <c r="A256" s="22">
        <v>8</v>
      </c>
      <c r="B256" s="7" t="s">
        <v>57</v>
      </c>
      <c r="C256" s="42" t="s">
        <v>1071</v>
      </c>
      <c r="D256" s="162" t="s">
        <v>1313</v>
      </c>
      <c r="E256" s="163" t="s">
        <v>1185</v>
      </c>
      <c r="F256" s="29">
        <v>200</v>
      </c>
      <c r="G256" s="66">
        <f>F256/4</f>
        <v>50</v>
      </c>
      <c r="H256" s="10" t="s">
        <v>58</v>
      </c>
      <c r="I256" s="9">
        <v>4</v>
      </c>
      <c r="J256" s="13">
        <f>G256/20</f>
        <v>2.5</v>
      </c>
      <c r="K256" s="30">
        <f>J256/5.74*100</f>
        <v>43.554006968641112</v>
      </c>
      <c r="L256" s="30">
        <f t="shared" ref="L256:L273" si="34">K256*I256</f>
        <v>174.21602787456445</v>
      </c>
    </row>
    <row r="257" spans="1:16">
      <c r="A257" s="22"/>
      <c r="B257" s="7"/>
      <c r="C257" s="42"/>
      <c r="E257" s="163" t="s">
        <v>1133</v>
      </c>
      <c r="F257" s="29">
        <v>12</v>
      </c>
      <c r="G257" s="66">
        <f t="shared" ref="G257:G260" si="35">F257/4</f>
        <v>3</v>
      </c>
      <c r="H257" s="10"/>
      <c r="I257" s="9"/>
      <c r="J257" s="13">
        <v>0</v>
      </c>
      <c r="K257" s="30">
        <f t="shared" ref="K257:K260" si="36">J257/5.74*100</f>
        <v>0</v>
      </c>
      <c r="L257" s="30">
        <f t="shared" si="34"/>
        <v>0</v>
      </c>
      <c r="P257" s="20">
        <v>3</v>
      </c>
    </row>
    <row r="258" spans="1:16">
      <c r="A258" s="22"/>
      <c r="B258" s="7"/>
      <c r="C258" s="42"/>
      <c r="E258" s="163" t="s">
        <v>1186</v>
      </c>
      <c r="F258" s="29">
        <v>350</v>
      </c>
      <c r="G258" s="66">
        <f t="shared" si="35"/>
        <v>87.5</v>
      </c>
      <c r="H258" s="10" t="s">
        <v>15</v>
      </c>
      <c r="I258" s="9">
        <v>2</v>
      </c>
      <c r="J258" s="13">
        <f>G258/30</f>
        <v>2.9166666666666665</v>
      </c>
      <c r="K258" s="30">
        <f t="shared" si="36"/>
        <v>50.813008130081293</v>
      </c>
      <c r="L258" s="30">
        <f t="shared" si="34"/>
        <v>101.62601626016259</v>
      </c>
    </row>
    <row r="259" spans="1:16">
      <c r="A259" s="22"/>
      <c r="B259" s="7"/>
      <c r="C259" s="42"/>
      <c r="E259" s="161" t="s">
        <v>1174</v>
      </c>
      <c r="F259" s="29">
        <v>70</v>
      </c>
      <c r="G259" s="66">
        <f t="shared" si="35"/>
        <v>17.5</v>
      </c>
      <c r="H259" s="10" t="s">
        <v>23</v>
      </c>
      <c r="I259" s="10">
        <v>5</v>
      </c>
      <c r="J259" s="13">
        <f>G259/70</f>
        <v>0.25</v>
      </c>
      <c r="K259" s="30">
        <f t="shared" si="36"/>
        <v>4.3554006968641108</v>
      </c>
      <c r="L259" s="30">
        <f t="shared" si="34"/>
        <v>21.777003484320552</v>
      </c>
    </row>
    <row r="260" spans="1:16">
      <c r="A260" s="22"/>
      <c r="B260" s="7"/>
      <c r="C260" s="42"/>
      <c r="E260" s="163" t="s">
        <v>1187</v>
      </c>
      <c r="F260" s="29">
        <v>100</v>
      </c>
      <c r="G260" s="66">
        <f t="shared" si="35"/>
        <v>25</v>
      </c>
      <c r="H260" s="10" t="s">
        <v>26</v>
      </c>
      <c r="I260" s="9">
        <v>4</v>
      </c>
      <c r="J260" s="13">
        <f>G260/350</f>
        <v>7.1428571428571425E-2</v>
      </c>
      <c r="K260" s="30">
        <f t="shared" si="36"/>
        <v>1.2444001991040317</v>
      </c>
      <c r="L260" s="30">
        <f t="shared" si="34"/>
        <v>4.9776007964161266</v>
      </c>
    </row>
    <row r="261" spans="1:16">
      <c r="C261" s="163" t="s">
        <v>1049</v>
      </c>
      <c r="D261" s="162" t="s">
        <v>1310</v>
      </c>
      <c r="E261" s="162" t="s">
        <v>1138</v>
      </c>
      <c r="F261" s="31">
        <v>4800</v>
      </c>
      <c r="G261" s="66">
        <f>F261/60</f>
        <v>80</v>
      </c>
      <c r="H261" s="10" t="s">
        <v>91</v>
      </c>
      <c r="I261" s="9">
        <v>5</v>
      </c>
      <c r="J261" s="13">
        <f>G261/70</f>
        <v>1.1428571428571428</v>
      </c>
      <c r="K261" s="30">
        <f t="shared" ref="K261:K273" si="37">J261/9.09*100</f>
        <v>12.572685840012573</v>
      </c>
      <c r="L261" s="30">
        <f t="shared" si="34"/>
        <v>62.863429200062868</v>
      </c>
    </row>
    <row r="262" spans="1:16">
      <c r="E262" s="162" t="s">
        <v>1139</v>
      </c>
      <c r="F262" s="31">
        <v>1000</v>
      </c>
      <c r="G262" s="66">
        <f t="shared" ref="G262:G269" si="38">F262/60</f>
        <v>16.666666666666668</v>
      </c>
      <c r="H262" s="10" t="s">
        <v>23</v>
      </c>
      <c r="I262" s="10">
        <v>5</v>
      </c>
      <c r="J262" s="13">
        <f>G262/70</f>
        <v>0.23809523809523811</v>
      </c>
      <c r="K262" s="30">
        <f t="shared" si="37"/>
        <v>2.6193095500026193</v>
      </c>
      <c r="L262" s="30">
        <f t="shared" si="34"/>
        <v>13.096547750013096</v>
      </c>
    </row>
    <row r="263" spans="1:16">
      <c r="E263" s="162" t="s">
        <v>1140</v>
      </c>
      <c r="F263" s="31">
        <v>100</v>
      </c>
      <c r="G263" s="66">
        <f t="shared" si="38"/>
        <v>1.6666666666666667</v>
      </c>
      <c r="H263" s="10" t="s">
        <v>23</v>
      </c>
      <c r="I263" s="10">
        <v>5</v>
      </c>
      <c r="J263" s="13">
        <f>G263/70</f>
        <v>2.3809523809523812E-2</v>
      </c>
      <c r="K263" s="30">
        <f t="shared" si="37"/>
        <v>0.26193095500026198</v>
      </c>
      <c r="L263" s="30">
        <f t="shared" si="34"/>
        <v>1.3096547750013099</v>
      </c>
    </row>
    <row r="264" spans="1:16">
      <c r="E264" s="162" t="s">
        <v>1277</v>
      </c>
      <c r="F264" s="31">
        <v>200</v>
      </c>
      <c r="G264" s="66">
        <f t="shared" si="38"/>
        <v>3.3333333333333335</v>
      </c>
      <c r="H264" s="10" t="s">
        <v>14</v>
      </c>
      <c r="I264" s="10">
        <v>5</v>
      </c>
      <c r="J264" s="13">
        <f>G264/40</f>
        <v>8.3333333333333343E-2</v>
      </c>
      <c r="K264" s="30">
        <f t="shared" si="37"/>
        <v>0.91675834250091681</v>
      </c>
      <c r="L264" s="30">
        <f t="shared" si="34"/>
        <v>4.5837917125045839</v>
      </c>
    </row>
    <row r="265" spans="1:16">
      <c r="C265" s="159"/>
      <c r="E265" s="162" t="s">
        <v>1142</v>
      </c>
      <c r="F265" s="31">
        <v>200</v>
      </c>
      <c r="G265" s="66">
        <f t="shared" si="38"/>
        <v>3.3333333333333335</v>
      </c>
      <c r="H265" s="10" t="s">
        <v>23</v>
      </c>
      <c r="I265" s="10">
        <v>5</v>
      </c>
      <c r="J265" s="13">
        <f>G265/40</f>
        <v>8.3333333333333343E-2</v>
      </c>
      <c r="K265" s="30">
        <f t="shared" si="37"/>
        <v>0.91675834250091681</v>
      </c>
      <c r="L265" s="30">
        <f t="shared" si="34"/>
        <v>4.5837917125045839</v>
      </c>
    </row>
    <row r="266" spans="1:16">
      <c r="E266" s="162" t="s">
        <v>1143</v>
      </c>
      <c r="F266" s="31">
        <v>200</v>
      </c>
      <c r="G266" s="66">
        <f t="shared" si="38"/>
        <v>3.3333333333333335</v>
      </c>
      <c r="H266" s="10" t="s">
        <v>21</v>
      </c>
      <c r="I266" s="10">
        <v>4</v>
      </c>
      <c r="J266" s="13">
        <v>0.05</v>
      </c>
      <c r="K266" s="30">
        <f t="shared" si="37"/>
        <v>0.55005500550055009</v>
      </c>
      <c r="L266" s="30">
        <f t="shared" si="34"/>
        <v>2.2002200220022003</v>
      </c>
    </row>
    <row r="267" spans="1:16">
      <c r="E267" s="162" t="s">
        <v>1116</v>
      </c>
      <c r="F267" s="31">
        <v>200</v>
      </c>
      <c r="G267" s="66">
        <f t="shared" si="38"/>
        <v>3.3333333333333335</v>
      </c>
      <c r="H267" s="10" t="s">
        <v>14</v>
      </c>
      <c r="I267" s="10">
        <v>5</v>
      </c>
      <c r="J267" s="13">
        <f>G267/40</f>
        <v>8.3333333333333343E-2</v>
      </c>
      <c r="K267" s="30">
        <f t="shared" si="37"/>
        <v>0.91675834250091681</v>
      </c>
      <c r="L267" s="30">
        <f t="shared" si="34"/>
        <v>4.5837917125045839</v>
      </c>
    </row>
    <row r="268" spans="1:16">
      <c r="E268" s="162" t="s">
        <v>1057</v>
      </c>
      <c r="F268" s="31">
        <v>80</v>
      </c>
      <c r="G268" s="66">
        <f t="shared" si="38"/>
        <v>1.3333333333333333</v>
      </c>
      <c r="H268" s="10" t="s">
        <v>16</v>
      </c>
      <c r="I268" s="10">
        <v>5</v>
      </c>
      <c r="J268" s="13">
        <f>G268/7</f>
        <v>0.19047619047619047</v>
      </c>
      <c r="K268" s="30">
        <f t="shared" si="37"/>
        <v>2.0954476400020954</v>
      </c>
      <c r="L268" s="30">
        <f t="shared" si="34"/>
        <v>10.477238200010477</v>
      </c>
    </row>
    <row r="269" spans="1:16">
      <c r="E269" s="162" t="s">
        <v>1144</v>
      </c>
      <c r="F269" s="31">
        <v>36</v>
      </c>
      <c r="G269" s="66">
        <f t="shared" si="38"/>
        <v>0.6</v>
      </c>
      <c r="H269" s="10" t="s">
        <v>23</v>
      </c>
      <c r="I269" s="10">
        <v>5</v>
      </c>
      <c r="J269" s="13">
        <f>G269/34</f>
        <v>1.7647058823529412E-2</v>
      </c>
      <c r="K269" s="30">
        <f t="shared" si="37"/>
        <v>0.1941370607649</v>
      </c>
      <c r="L269" s="30">
        <f t="shared" si="34"/>
        <v>0.97068530382450002</v>
      </c>
    </row>
    <row r="270" spans="1:16">
      <c r="E270" s="162" t="s">
        <v>1145</v>
      </c>
      <c r="F270" s="31">
        <v>130</v>
      </c>
      <c r="G270" s="66">
        <f>F270/60</f>
        <v>2.1666666666666665</v>
      </c>
      <c r="H270" s="10" t="s">
        <v>23</v>
      </c>
      <c r="I270" s="10">
        <v>5</v>
      </c>
      <c r="J270" s="13">
        <v>0</v>
      </c>
      <c r="K270" s="30">
        <f t="shared" si="37"/>
        <v>0</v>
      </c>
      <c r="L270" s="30">
        <f t="shared" si="34"/>
        <v>0</v>
      </c>
    </row>
    <row r="271" spans="1:16">
      <c r="E271" s="164" t="s">
        <v>1133</v>
      </c>
      <c r="F271" s="31"/>
      <c r="G271" s="66">
        <v>0.7</v>
      </c>
      <c r="J271" s="18">
        <v>0</v>
      </c>
      <c r="K271" s="30">
        <f t="shared" si="37"/>
        <v>0</v>
      </c>
      <c r="L271" s="30">
        <f t="shared" si="34"/>
        <v>0</v>
      </c>
      <c r="P271" s="20">
        <v>0.7</v>
      </c>
    </row>
    <row r="272" spans="1:16">
      <c r="E272" s="162" t="s">
        <v>1146</v>
      </c>
      <c r="F272" s="31">
        <v>100</v>
      </c>
      <c r="G272" s="66">
        <f>F272/60</f>
        <v>1.6666666666666667</v>
      </c>
      <c r="J272" s="18">
        <v>0</v>
      </c>
      <c r="K272" s="30">
        <f t="shared" si="37"/>
        <v>0</v>
      </c>
      <c r="L272" s="30">
        <f t="shared" si="34"/>
        <v>0</v>
      </c>
      <c r="P272" s="20">
        <f>G272*22/100</f>
        <v>0.3666666666666667</v>
      </c>
    </row>
    <row r="273" spans="1:17">
      <c r="E273" s="162" t="s">
        <v>1147</v>
      </c>
      <c r="F273" s="31">
        <v>100</v>
      </c>
      <c r="G273" s="66">
        <f>F273/60</f>
        <v>1.6666666666666667</v>
      </c>
      <c r="J273" s="18">
        <v>0</v>
      </c>
      <c r="K273" s="30">
        <f t="shared" si="37"/>
        <v>0</v>
      </c>
      <c r="L273" s="30">
        <f t="shared" si="34"/>
        <v>0</v>
      </c>
      <c r="P273" s="20">
        <f>5*G273/100</f>
        <v>8.3333333333333343E-2</v>
      </c>
    </row>
    <row r="274" spans="1:17" ht="17.25" thickBot="1">
      <c r="A274" s="37"/>
      <c r="B274" s="37"/>
      <c r="C274" s="37"/>
      <c r="D274" s="40"/>
      <c r="E274" s="165"/>
      <c r="F274" s="37"/>
      <c r="G274" s="68"/>
      <c r="H274" s="37"/>
      <c r="I274" s="39"/>
      <c r="J274" s="26">
        <f>SUM(J256:J260)</f>
        <v>5.7380952380952372</v>
      </c>
      <c r="K274" s="38">
        <f>SUM(K256:K260)</f>
        <v>99.966815994690549</v>
      </c>
      <c r="L274" s="38"/>
      <c r="M274" s="38">
        <f>SUM(L256:L273)</f>
        <v>407.26579880389198</v>
      </c>
      <c r="N274" s="37" t="s">
        <v>36</v>
      </c>
      <c r="O274" s="37" t="s">
        <v>59</v>
      </c>
      <c r="P274" s="27">
        <f>SUM(P256:P273)</f>
        <v>4.1499999999999995</v>
      </c>
      <c r="Q274" s="28">
        <f>SUM(Q256:Q260)</f>
        <v>0</v>
      </c>
    </row>
    <row r="275" spans="1:17">
      <c r="M275" s="30"/>
    </row>
    <row r="276" spans="1:17">
      <c r="A276" s="7">
        <v>9</v>
      </c>
      <c r="B276" s="7" t="s">
        <v>60</v>
      </c>
      <c r="C276" s="161" t="s">
        <v>1114</v>
      </c>
      <c r="E276" s="163" t="s">
        <v>1114</v>
      </c>
      <c r="G276" s="64">
        <v>90</v>
      </c>
      <c r="H276" s="10" t="s">
        <v>15</v>
      </c>
      <c r="I276" s="10">
        <v>2</v>
      </c>
      <c r="J276" s="13">
        <f>G276/30</f>
        <v>3</v>
      </c>
      <c r="K276" s="30">
        <f>J276/10.51*100</f>
        <v>28.544243577545199</v>
      </c>
      <c r="L276" s="30">
        <f>K276*I276</f>
        <v>57.088487155090398</v>
      </c>
      <c r="P276" s="23"/>
      <c r="Q276" s="24"/>
    </row>
    <row r="277" spans="1:17">
      <c r="A277" s="7"/>
      <c r="C277" s="161" t="s">
        <v>1072</v>
      </c>
      <c r="D277" s="162" t="s">
        <v>1313</v>
      </c>
      <c r="E277" s="163" t="s">
        <v>1170</v>
      </c>
      <c r="F277" s="29">
        <v>400</v>
      </c>
      <c r="G277" s="64">
        <f>F277/4</f>
        <v>100</v>
      </c>
      <c r="H277" s="10" t="s">
        <v>17</v>
      </c>
      <c r="I277" s="9">
        <v>1</v>
      </c>
      <c r="J277" s="18">
        <f>G277/18.2</f>
        <v>5.4945054945054945</v>
      </c>
      <c r="K277" s="30">
        <f t="shared" ref="K277:K288" si="39">J277/10.51*100</f>
        <v>52.278834391108418</v>
      </c>
      <c r="L277" s="30">
        <f t="shared" ref="L277:L288" si="40">K277*I277</f>
        <v>52.278834391108418</v>
      </c>
      <c r="P277" s="23"/>
      <c r="Q277" s="24"/>
    </row>
    <row r="278" spans="1:17">
      <c r="A278" s="7"/>
      <c r="C278" s="7"/>
      <c r="D278" s="29"/>
      <c r="E278" s="163" t="s">
        <v>1116</v>
      </c>
      <c r="F278" s="29">
        <v>40</v>
      </c>
      <c r="G278" s="64">
        <f t="shared" ref="G278:G279" si="41">F278/4</f>
        <v>10</v>
      </c>
      <c r="H278" s="10" t="s">
        <v>14</v>
      </c>
      <c r="I278" s="10">
        <v>5</v>
      </c>
      <c r="J278" s="18">
        <f>G278/40</f>
        <v>0.25</v>
      </c>
      <c r="K278" s="30">
        <f t="shared" si="39"/>
        <v>2.378686964795433</v>
      </c>
      <c r="L278" s="30">
        <f t="shared" si="40"/>
        <v>11.893434823977165</v>
      </c>
      <c r="P278" s="23"/>
      <c r="Q278" s="24"/>
    </row>
    <row r="279" spans="1:17">
      <c r="A279" s="7"/>
      <c r="C279" s="7"/>
      <c r="D279" s="29"/>
      <c r="E279" s="163" t="s">
        <v>1133</v>
      </c>
      <c r="F279" s="29">
        <v>8</v>
      </c>
      <c r="G279" s="64">
        <f t="shared" si="41"/>
        <v>2</v>
      </c>
      <c r="H279" s="10"/>
      <c r="I279" s="10"/>
      <c r="J279" s="13">
        <f>G279/7</f>
        <v>0.2857142857142857</v>
      </c>
      <c r="K279" s="30">
        <f t="shared" si="39"/>
        <v>2.7184993883376376</v>
      </c>
      <c r="L279" s="30">
        <f t="shared" si="40"/>
        <v>0</v>
      </c>
      <c r="P279" s="23">
        <v>2</v>
      </c>
      <c r="Q279" s="24"/>
    </row>
    <row r="280" spans="1:17">
      <c r="C280" s="166" t="s">
        <v>1068</v>
      </c>
      <c r="D280" s="162" t="s">
        <v>1310</v>
      </c>
      <c r="E280" s="163" t="s">
        <v>1139</v>
      </c>
      <c r="F280" s="29">
        <v>1500</v>
      </c>
      <c r="G280" s="64">
        <f>F280/20</f>
        <v>75</v>
      </c>
      <c r="H280" s="10" t="s">
        <v>23</v>
      </c>
      <c r="I280" s="10">
        <v>5</v>
      </c>
      <c r="J280" s="18">
        <f>G280/70</f>
        <v>1.0714285714285714</v>
      </c>
      <c r="K280" s="30">
        <f t="shared" si="39"/>
        <v>10.194372706266142</v>
      </c>
      <c r="L280" s="30">
        <f t="shared" si="40"/>
        <v>50.971863531330712</v>
      </c>
    </row>
    <row r="281" spans="1:17">
      <c r="E281" s="163" t="s">
        <v>1133</v>
      </c>
      <c r="F281" s="29">
        <v>24</v>
      </c>
      <c r="G281" s="64">
        <f t="shared" ref="G281:G288" si="42">F281/20</f>
        <v>1.2</v>
      </c>
      <c r="J281" s="18">
        <v>0</v>
      </c>
      <c r="K281" s="30">
        <f t="shared" si="39"/>
        <v>0</v>
      </c>
      <c r="L281" s="30">
        <f t="shared" si="40"/>
        <v>0</v>
      </c>
      <c r="P281" s="20">
        <v>1.2</v>
      </c>
    </row>
    <row r="282" spans="1:17">
      <c r="E282" s="163" t="s">
        <v>1152</v>
      </c>
      <c r="F282" s="29">
        <v>6</v>
      </c>
      <c r="G282" s="64">
        <f t="shared" si="42"/>
        <v>0.3</v>
      </c>
      <c r="J282" s="18">
        <v>0</v>
      </c>
      <c r="K282" s="30">
        <f t="shared" si="39"/>
        <v>0</v>
      </c>
      <c r="L282" s="30">
        <f t="shared" si="40"/>
        <v>0</v>
      </c>
    </row>
    <row r="283" spans="1:17">
      <c r="C283" s="159"/>
      <c r="E283" s="163" t="s">
        <v>1145</v>
      </c>
      <c r="F283" s="29">
        <v>42</v>
      </c>
      <c r="G283" s="64">
        <f t="shared" si="42"/>
        <v>2.1</v>
      </c>
      <c r="H283" s="10" t="s">
        <v>23</v>
      </c>
      <c r="I283" s="10">
        <v>5</v>
      </c>
      <c r="J283" s="18">
        <f>G283/70</f>
        <v>3.0000000000000002E-2</v>
      </c>
      <c r="K283" s="30">
        <f t="shared" si="39"/>
        <v>0.28544243577545197</v>
      </c>
      <c r="L283" s="30">
        <f t="shared" si="40"/>
        <v>1.4272121788772598</v>
      </c>
    </row>
    <row r="284" spans="1:17">
      <c r="E284" s="163" t="s">
        <v>1147</v>
      </c>
      <c r="F284" s="29">
        <v>60</v>
      </c>
      <c r="G284" s="64">
        <f t="shared" si="42"/>
        <v>3</v>
      </c>
      <c r="J284" s="18">
        <v>0</v>
      </c>
      <c r="K284" s="30">
        <f t="shared" si="39"/>
        <v>0</v>
      </c>
      <c r="L284" s="30">
        <f t="shared" si="40"/>
        <v>0</v>
      </c>
      <c r="P284" s="20">
        <f>G284*5/100</f>
        <v>0.15</v>
      </c>
    </row>
    <row r="285" spans="1:17">
      <c r="E285" s="163" t="s">
        <v>1121</v>
      </c>
      <c r="F285" s="29">
        <v>24</v>
      </c>
      <c r="G285" s="64">
        <f t="shared" si="42"/>
        <v>1.2</v>
      </c>
      <c r="H285" s="10" t="s">
        <v>16</v>
      </c>
      <c r="I285" s="10">
        <v>5</v>
      </c>
      <c r="J285" s="18">
        <f>G285/7</f>
        <v>0.17142857142857143</v>
      </c>
      <c r="K285" s="30">
        <f t="shared" si="39"/>
        <v>1.6310996330025826</v>
      </c>
      <c r="L285" s="30">
        <f t="shared" si="40"/>
        <v>8.1554981650129132</v>
      </c>
    </row>
    <row r="286" spans="1:17">
      <c r="E286" s="163" t="s">
        <v>1144</v>
      </c>
      <c r="F286" s="29">
        <v>8</v>
      </c>
      <c r="G286" s="64">
        <f t="shared" si="42"/>
        <v>0.4</v>
      </c>
      <c r="H286" s="10" t="s">
        <v>23</v>
      </c>
      <c r="I286" s="10">
        <v>5</v>
      </c>
      <c r="J286" s="18">
        <f>G286/34</f>
        <v>1.1764705882352941E-2</v>
      </c>
      <c r="K286" s="30">
        <f t="shared" si="39"/>
        <v>0.11193821010802038</v>
      </c>
      <c r="L286" s="30">
        <f t="shared" si="40"/>
        <v>0.55969105054010193</v>
      </c>
    </row>
    <row r="287" spans="1:17">
      <c r="E287" s="163" t="s">
        <v>1157</v>
      </c>
      <c r="F287" s="29">
        <v>100</v>
      </c>
      <c r="G287" s="64">
        <f t="shared" si="42"/>
        <v>5</v>
      </c>
      <c r="H287" s="10" t="s">
        <v>14</v>
      </c>
      <c r="I287" s="10">
        <v>5</v>
      </c>
      <c r="J287" s="18">
        <f>G287/40</f>
        <v>0.125</v>
      </c>
      <c r="K287" s="30">
        <f t="shared" si="39"/>
        <v>1.1893434823977165</v>
      </c>
      <c r="L287" s="30">
        <f t="shared" si="40"/>
        <v>5.9467174119885824</v>
      </c>
    </row>
    <row r="288" spans="1:17">
      <c r="E288" s="163" t="s">
        <v>1140</v>
      </c>
      <c r="F288" s="29">
        <v>100</v>
      </c>
      <c r="G288" s="64">
        <f t="shared" si="42"/>
        <v>5</v>
      </c>
      <c r="H288" s="10" t="s">
        <v>23</v>
      </c>
      <c r="I288" s="10">
        <v>5</v>
      </c>
      <c r="J288" s="18">
        <f>G288/70</f>
        <v>7.1428571428571425E-2</v>
      </c>
      <c r="K288" s="30">
        <f t="shared" si="39"/>
        <v>0.6796248470844094</v>
      </c>
      <c r="L288" s="30">
        <f t="shared" si="40"/>
        <v>3.3981242354220469</v>
      </c>
    </row>
    <row r="289" spans="1:17" ht="17.25" thickBot="1">
      <c r="A289" s="37"/>
      <c r="B289" s="37"/>
      <c r="C289" s="37"/>
      <c r="D289" s="40"/>
      <c r="E289" s="165"/>
      <c r="F289" s="37"/>
      <c r="G289" s="68"/>
      <c r="H289" s="37"/>
      <c r="I289" s="39"/>
      <c r="J289" s="26">
        <f>SUM(J276:J288)</f>
        <v>10.511270200387846</v>
      </c>
      <c r="K289" s="38">
        <f>SUM(K276:K288)</f>
        <v>100.01208563642101</v>
      </c>
      <c r="L289" s="38"/>
      <c r="M289" s="38">
        <f>SUM(L276:L288)</f>
        <v>191.71986294334755</v>
      </c>
      <c r="N289" s="37" t="s">
        <v>36</v>
      </c>
      <c r="O289" s="37" t="s">
        <v>47</v>
      </c>
      <c r="P289" s="27">
        <f>SUM(P276:P288)</f>
        <v>3.35</v>
      </c>
      <c r="Q289" s="28">
        <f>SUM(Q276:Q288)</f>
        <v>0</v>
      </c>
    </row>
    <row r="290" spans="1:17">
      <c r="M290" s="30"/>
    </row>
    <row r="291" spans="1:17">
      <c r="A291" s="7">
        <v>10</v>
      </c>
      <c r="B291" s="7" t="s">
        <v>61</v>
      </c>
      <c r="C291" s="161" t="s">
        <v>1114</v>
      </c>
      <c r="E291" s="163" t="s">
        <v>1114</v>
      </c>
      <c r="G291" s="64">
        <v>30</v>
      </c>
      <c r="H291" s="10" t="s">
        <v>15</v>
      </c>
      <c r="I291" s="10">
        <v>2</v>
      </c>
      <c r="J291" s="13">
        <f>G291/30</f>
        <v>1</v>
      </c>
      <c r="K291" s="30">
        <f>J291/6.28*100</f>
        <v>15.923566878980891</v>
      </c>
      <c r="L291" s="30">
        <f>K291*I291</f>
        <v>31.847133757961782</v>
      </c>
      <c r="P291" s="23"/>
      <c r="Q291" s="24"/>
    </row>
    <row r="292" spans="1:17">
      <c r="A292" s="7"/>
      <c r="C292" s="161" t="s">
        <v>1073</v>
      </c>
      <c r="D292" s="29" t="s">
        <v>1309</v>
      </c>
      <c r="E292" s="163" t="s">
        <v>1188</v>
      </c>
      <c r="G292" s="64">
        <v>101</v>
      </c>
      <c r="H292" s="10" t="s">
        <v>113</v>
      </c>
      <c r="I292" s="9">
        <v>2</v>
      </c>
      <c r="J292" s="18">
        <f>G292/30</f>
        <v>3.3666666666666667</v>
      </c>
      <c r="K292" s="30">
        <f>J292/6.28*100</f>
        <v>53.609341825902334</v>
      </c>
      <c r="L292" s="30">
        <f t="shared" ref="L292:L307" si="43">K292*I292</f>
        <v>107.21868365180467</v>
      </c>
      <c r="P292" s="23"/>
      <c r="Q292" s="24"/>
    </row>
    <row r="293" spans="1:17">
      <c r="A293" s="7"/>
      <c r="C293" s="7"/>
      <c r="D293" s="29"/>
      <c r="E293" s="163" t="s">
        <v>1133</v>
      </c>
      <c r="G293" s="64">
        <v>4.8</v>
      </c>
      <c r="H293" s="10"/>
      <c r="I293" s="10"/>
      <c r="J293" s="13">
        <v>0</v>
      </c>
      <c r="K293" s="30">
        <f t="shared" ref="K293:K307" si="44">J293/6.28*100</f>
        <v>0</v>
      </c>
      <c r="L293" s="30">
        <f t="shared" si="43"/>
        <v>0</v>
      </c>
      <c r="P293" s="23">
        <v>4.8</v>
      </c>
      <c r="Q293" s="24"/>
    </row>
    <row r="294" spans="1:17">
      <c r="A294" s="7"/>
      <c r="C294" s="7"/>
      <c r="D294" s="29"/>
      <c r="E294" s="163" t="s">
        <v>1189</v>
      </c>
      <c r="G294" s="64">
        <v>25</v>
      </c>
      <c r="H294" s="10"/>
      <c r="I294" s="10"/>
      <c r="J294" s="13">
        <v>0</v>
      </c>
      <c r="K294" s="30">
        <f t="shared" si="44"/>
        <v>0</v>
      </c>
      <c r="L294" s="30">
        <f t="shared" si="43"/>
        <v>0</v>
      </c>
      <c r="P294" s="23"/>
      <c r="Q294" s="24">
        <v>25</v>
      </c>
    </row>
    <row r="295" spans="1:17">
      <c r="C295" s="163" t="s">
        <v>1049</v>
      </c>
      <c r="D295" s="162" t="s">
        <v>1310</v>
      </c>
      <c r="E295" s="162" t="s">
        <v>1138</v>
      </c>
      <c r="F295" s="31">
        <v>4800</v>
      </c>
      <c r="G295" s="66">
        <f>F295/60</f>
        <v>80</v>
      </c>
      <c r="H295" s="10" t="s">
        <v>91</v>
      </c>
      <c r="I295" s="9">
        <v>5</v>
      </c>
      <c r="J295" s="13">
        <f>G295/70</f>
        <v>1.1428571428571428</v>
      </c>
      <c r="K295" s="30">
        <f t="shared" si="44"/>
        <v>18.198362147406733</v>
      </c>
      <c r="L295" s="30">
        <f t="shared" si="43"/>
        <v>90.99181073703366</v>
      </c>
    </row>
    <row r="296" spans="1:17">
      <c r="E296" s="162" t="s">
        <v>1139</v>
      </c>
      <c r="F296" s="31">
        <v>1000</v>
      </c>
      <c r="G296" s="66">
        <f t="shared" ref="G296:G303" si="45">F296/60</f>
        <v>16.666666666666668</v>
      </c>
      <c r="H296" s="10" t="s">
        <v>23</v>
      </c>
      <c r="I296" s="10">
        <v>5</v>
      </c>
      <c r="J296" s="13">
        <f>G296/70</f>
        <v>0.23809523809523811</v>
      </c>
      <c r="K296" s="30">
        <f t="shared" si="44"/>
        <v>3.7913254473764026</v>
      </c>
      <c r="L296" s="30">
        <f t="shared" si="43"/>
        <v>18.956627236882014</v>
      </c>
    </row>
    <row r="297" spans="1:17">
      <c r="E297" s="162" t="s">
        <v>1140</v>
      </c>
      <c r="F297" s="31">
        <v>100</v>
      </c>
      <c r="G297" s="66">
        <f t="shared" si="45"/>
        <v>1.6666666666666667</v>
      </c>
      <c r="H297" s="10" t="s">
        <v>23</v>
      </c>
      <c r="I297" s="10">
        <v>5</v>
      </c>
      <c r="J297" s="13">
        <f>G297/70</f>
        <v>2.3809523809523812E-2</v>
      </c>
      <c r="K297" s="30">
        <f t="shared" si="44"/>
        <v>0.3791325447376403</v>
      </c>
      <c r="L297" s="30">
        <f t="shared" si="43"/>
        <v>1.8956627236882015</v>
      </c>
    </row>
    <row r="298" spans="1:17">
      <c r="E298" s="162" t="s">
        <v>1277</v>
      </c>
      <c r="F298" s="31">
        <v>200</v>
      </c>
      <c r="G298" s="66">
        <f t="shared" si="45"/>
        <v>3.3333333333333335</v>
      </c>
      <c r="H298" s="10" t="s">
        <v>14</v>
      </c>
      <c r="I298" s="10">
        <v>5</v>
      </c>
      <c r="J298" s="13">
        <f>G298/40</f>
        <v>8.3333333333333343E-2</v>
      </c>
      <c r="K298" s="30">
        <f t="shared" si="44"/>
        <v>1.3269639065817411</v>
      </c>
      <c r="L298" s="30">
        <f t="shared" si="43"/>
        <v>6.6348195329087059</v>
      </c>
    </row>
    <row r="299" spans="1:17">
      <c r="C299" s="159"/>
      <c r="E299" s="162" t="s">
        <v>1142</v>
      </c>
      <c r="F299" s="31">
        <v>200</v>
      </c>
      <c r="G299" s="66">
        <f t="shared" si="45"/>
        <v>3.3333333333333335</v>
      </c>
      <c r="H299" s="10" t="s">
        <v>23</v>
      </c>
      <c r="I299" s="10">
        <v>5</v>
      </c>
      <c r="J299" s="13">
        <f>G299/40</f>
        <v>8.3333333333333343E-2</v>
      </c>
      <c r="K299" s="30">
        <f t="shared" si="44"/>
        <v>1.3269639065817411</v>
      </c>
      <c r="L299" s="30">
        <f t="shared" si="43"/>
        <v>6.6348195329087059</v>
      </c>
    </row>
    <row r="300" spans="1:17">
      <c r="E300" s="162" t="s">
        <v>1143</v>
      </c>
      <c r="F300" s="31">
        <v>200</v>
      </c>
      <c r="G300" s="66">
        <f t="shared" si="45"/>
        <v>3.3333333333333335</v>
      </c>
      <c r="H300" s="10" t="s">
        <v>21</v>
      </c>
      <c r="I300" s="10">
        <v>4</v>
      </c>
      <c r="J300" s="13">
        <v>0.05</v>
      </c>
      <c r="K300" s="30">
        <f t="shared" si="44"/>
        <v>0.79617834394904463</v>
      </c>
      <c r="L300" s="30">
        <f t="shared" si="43"/>
        <v>3.1847133757961785</v>
      </c>
    </row>
    <row r="301" spans="1:17">
      <c r="E301" s="162" t="s">
        <v>1116</v>
      </c>
      <c r="F301" s="31">
        <v>200</v>
      </c>
      <c r="G301" s="66">
        <f t="shared" si="45"/>
        <v>3.3333333333333335</v>
      </c>
      <c r="H301" s="10" t="s">
        <v>14</v>
      </c>
      <c r="I301" s="10">
        <v>5</v>
      </c>
      <c r="J301" s="13">
        <f>G301/40</f>
        <v>8.3333333333333343E-2</v>
      </c>
      <c r="K301" s="30">
        <f t="shared" si="44"/>
        <v>1.3269639065817411</v>
      </c>
      <c r="L301" s="30">
        <f t="shared" si="43"/>
        <v>6.6348195329087059</v>
      </c>
    </row>
    <row r="302" spans="1:17">
      <c r="C302" s="159"/>
      <c r="E302" s="162" t="s">
        <v>1057</v>
      </c>
      <c r="F302" s="31">
        <v>80</v>
      </c>
      <c r="G302" s="66">
        <f t="shared" si="45"/>
        <v>1.3333333333333333</v>
      </c>
      <c r="H302" s="10" t="s">
        <v>16</v>
      </c>
      <c r="I302" s="10">
        <v>5</v>
      </c>
      <c r="J302" s="13">
        <f>G302/7</f>
        <v>0.19047619047619047</v>
      </c>
      <c r="K302" s="30">
        <f t="shared" si="44"/>
        <v>3.0330603579011219</v>
      </c>
      <c r="L302" s="30">
        <f t="shared" si="43"/>
        <v>15.165301789505609</v>
      </c>
    </row>
    <row r="303" spans="1:17">
      <c r="E303" s="162" t="s">
        <v>1144</v>
      </c>
      <c r="F303" s="31">
        <v>36</v>
      </c>
      <c r="G303" s="66">
        <f t="shared" si="45"/>
        <v>0.6</v>
      </c>
      <c r="H303" s="10" t="s">
        <v>23</v>
      </c>
      <c r="I303" s="10">
        <v>5</v>
      </c>
      <c r="J303" s="13">
        <f>G303/34</f>
        <v>1.7647058823529412E-2</v>
      </c>
      <c r="K303" s="30">
        <f t="shared" si="44"/>
        <v>0.28100412139378039</v>
      </c>
      <c r="L303" s="30">
        <f t="shared" si="43"/>
        <v>1.405020606968902</v>
      </c>
    </row>
    <row r="304" spans="1:17">
      <c r="E304" s="162" t="s">
        <v>1145</v>
      </c>
      <c r="F304" s="31">
        <v>130</v>
      </c>
      <c r="G304" s="66">
        <f>F304/60</f>
        <v>2.1666666666666665</v>
      </c>
      <c r="H304" s="10" t="s">
        <v>23</v>
      </c>
      <c r="I304" s="10">
        <v>5</v>
      </c>
      <c r="J304" s="13">
        <v>0</v>
      </c>
      <c r="K304" s="30">
        <f t="shared" si="44"/>
        <v>0</v>
      </c>
      <c r="L304" s="30">
        <f t="shared" si="43"/>
        <v>0</v>
      </c>
    </row>
    <row r="305" spans="1:17">
      <c r="E305" s="164" t="s">
        <v>1133</v>
      </c>
      <c r="F305" s="31"/>
      <c r="G305" s="66">
        <v>0.7</v>
      </c>
      <c r="J305" s="18">
        <v>0</v>
      </c>
      <c r="K305" s="30">
        <f t="shared" si="44"/>
        <v>0</v>
      </c>
      <c r="L305" s="30">
        <f t="shared" si="43"/>
        <v>0</v>
      </c>
      <c r="P305" s="20">
        <v>0.7</v>
      </c>
    </row>
    <row r="306" spans="1:17">
      <c r="E306" s="162" t="s">
        <v>1146</v>
      </c>
      <c r="F306" s="31">
        <v>100</v>
      </c>
      <c r="G306" s="66">
        <f>F306/60</f>
        <v>1.6666666666666667</v>
      </c>
      <c r="J306" s="18">
        <v>0</v>
      </c>
      <c r="K306" s="30">
        <f t="shared" si="44"/>
        <v>0</v>
      </c>
      <c r="L306" s="30">
        <f t="shared" si="43"/>
        <v>0</v>
      </c>
      <c r="P306" s="20">
        <f>G306*22/100</f>
        <v>0.3666666666666667</v>
      </c>
    </row>
    <row r="307" spans="1:17">
      <c r="E307" s="162" t="s">
        <v>1147</v>
      </c>
      <c r="F307" s="31">
        <v>100</v>
      </c>
      <c r="G307" s="66">
        <f>F307/60</f>
        <v>1.6666666666666667</v>
      </c>
      <c r="J307" s="18">
        <v>0</v>
      </c>
      <c r="K307" s="30">
        <f t="shared" si="44"/>
        <v>0</v>
      </c>
      <c r="L307" s="30">
        <f t="shared" si="43"/>
        <v>0</v>
      </c>
      <c r="P307" s="20">
        <f>5*G307/100</f>
        <v>8.3333333333333343E-2</v>
      </c>
    </row>
    <row r="308" spans="1:17" ht="17.25" thickBot="1">
      <c r="A308" s="37"/>
      <c r="B308" s="37"/>
      <c r="C308" s="37"/>
      <c r="D308" s="40"/>
      <c r="E308" s="165"/>
      <c r="F308" s="37"/>
      <c r="G308" s="68"/>
      <c r="H308" s="37"/>
      <c r="I308" s="39"/>
      <c r="J308" s="26">
        <f>SUM(J291:J307)</f>
        <v>6.2795518207282903</v>
      </c>
      <c r="K308" s="38">
        <f>SUM(K291:K307)</f>
        <v>99.992863387393157</v>
      </c>
      <c r="L308" s="38">
        <f t="shared" ref="L308" si="46">K308*I308</f>
        <v>0</v>
      </c>
      <c r="M308" s="38">
        <f>SUM(L291:L307)</f>
        <v>290.5694124783671</v>
      </c>
      <c r="N308" s="37" t="s">
        <v>64</v>
      </c>
      <c r="O308" s="37" t="s">
        <v>77</v>
      </c>
      <c r="P308" s="27">
        <f>SUM(P291:P307)</f>
        <v>5.95</v>
      </c>
      <c r="Q308" s="28">
        <f>SUM(Q291:Q307)</f>
        <v>25</v>
      </c>
    </row>
    <row r="309" spans="1:17">
      <c r="M309" s="30"/>
    </row>
    <row r="310" spans="1:17">
      <c r="A310" s="7">
        <v>11</v>
      </c>
      <c r="B310" s="7" t="s">
        <v>65</v>
      </c>
      <c r="C310" s="161" t="s">
        <v>1190</v>
      </c>
      <c r="E310" s="161" t="s">
        <v>1190</v>
      </c>
      <c r="G310" s="64">
        <v>200</v>
      </c>
      <c r="H310" s="10" t="s">
        <v>28</v>
      </c>
      <c r="I310" s="9">
        <v>3</v>
      </c>
      <c r="J310" s="13">
        <f>G310/200</f>
        <v>1</v>
      </c>
      <c r="K310" s="30">
        <f>J310/3*100</f>
        <v>33.333333333333329</v>
      </c>
      <c r="L310" s="30">
        <f>K310*I310</f>
        <v>99.999999999999986</v>
      </c>
      <c r="P310" s="23"/>
      <c r="Q310" s="24"/>
    </row>
    <row r="311" spans="1:17">
      <c r="A311" s="7"/>
      <c r="C311" s="161" t="s">
        <v>1074</v>
      </c>
      <c r="D311" s="29"/>
      <c r="E311" s="161" t="s">
        <v>1074</v>
      </c>
      <c r="G311" s="64">
        <v>60</v>
      </c>
      <c r="H311" s="10" t="s">
        <v>24</v>
      </c>
      <c r="I311" s="9">
        <v>2</v>
      </c>
      <c r="J311" s="18">
        <f>G311/30</f>
        <v>2</v>
      </c>
      <c r="K311" s="30">
        <f>J311/3*100</f>
        <v>66.666666666666657</v>
      </c>
      <c r="L311" s="30">
        <f t="shared" ref="L311" si="47">K311*I311</f>
        <v>133.33333333333331</v>
      </c>
      <c r="P311" s="23"/>
      <c r="Q311" s="24"/>
    </row>
    <row r="312" spans="1:17" ht="17.25" thickBot="1">
      <c r="A312" s="37"/>
      <c r="B312" s="37"/>
      <c r="C312" s="37"/>
      <c r="D312" s="40"/>
      <c r="E312" s="165"/>
      <c r="F312" s="37"/>
      <c r="G312" s="68"/>
      <c r="H312" s="37"/>
      <c r="I312" s="39"/>
      <c r="J312" s="26">
        <f>SUM(J310:J311)</f>
        <v>3</v>
      </c>
      <c r="K312" s="38">
        <f>SUM(K310:K311)</f>
        <v>99.999999999999986</v>
      </c>
      <c r="L312" s="38"/>
      <c r="M312" s="38">
        <f>SUM(L310:L311)</f>
        <v>233.33333333333331</v>
      </c>
      <c r="N312" s="37"/>
      <c r="O312" s="37" t="s">
        <v>66</v>
      </c>
      <c r="P312" s="27">
        <f>SUM(P310:P311)</f>
        <v>0</v>
      </c>
      <c r="Q312" s="28">
        <f>SUM(Q310:Q311)</f>
        <v>0</v>
      </c>
    </row>
    <row r="313" spans="1:17">
      <c r="M313" s="30"/>
    </row>
    <row r="314" spans="1:17">
      <c r="A314" s="7">
        <v>12</v>
      </c>
      <c r="B314" s="7" t="s">
        <v>67</v>
      </c>
      <c r="C314" s="161" t="s">
        <v>1114</v>
      </c>
      <c r="E314" s="163" t="s">
        <v>1114</v>
      </c>
      <c r="G314" s="64">
        <v>90</v>
      </c>
      <c r="H314" s="10" t="s">
        <v>15</v>
      </c>
      <c r="I314" s="10">
        <v>2</v>
      </c>
      <c r="J314" s="13">
        <f>G314/30</f>
        <v>3</v>
      </c>
      <c r="K314" s="30">
        <f>J314/15.92*100</f>
        <v>18.844221105527641</v>
      </c>
      <c r="L314" s="30">
        <f>K314*I314</f>
        <v>37.688442211055282</v>
      </c>
      <c r="P314" s="23"/>
      <c r="Q314" s="24"/>
    </row>
    <row r="315" spans="1:17">
      <c r="A315" s="7"/>
      <c r="C315" s="161" t="s">
        <v>1050</v>
      </c>
      <c r="D315" s="162" t="s">
        <v>1313</v>
      </c>
      <c r="E315" s="163" t="s">
        <v>1148</v>
      </c>
      <c r="F315" s="29">
        <v>20</v>
      </c>
      <c r="G315" s="64">
        <f>F315/4</f>
        <v>5</v>
      </c>
      <c r="H315" s="10" t="s">
        <v>29</v>
      </c>
      <c r="I315" s="10">
        <v>3</v>
      </c>
      <c r="J315" s="18">
        <f>G315/18.2</f>
        <v>0.27472527472527475</v>
      </c>
      <c r="K315" s="30">
        <f t="shared" ref="K315:K378" si="48">J315/15.92*100</f>
        <v>1.7256612733999672</v>
      </c>
      <c r="L315" s="30">
        <f t="shared" ref="L315:L378" si="49">K315*I315</f>
        <v>5.1769838201999017</v>
      </c>
      <c r="P315" s="23"/>
      <c r="Q315" s="24"/>
    </row>
    <row r="316" spans="1:17">
      <c r="A316" s="7"/>
      <c r="C316" s="7"/>
      <c r="D316" s="29"/>
      <c r="E316" s="163" t="s">
        <v>1149</v>
      </c>
      <c r="F316" s="29">
        <v>100</v>
      </c>
      <c r="G316" s="64">
        <f t="shared" ref="G316:G355" si="50">F316/4</f>
        <v>25</v>
      </c>
      <c r="H316" s="10" t="s">
        <v>17</v>
      </c>
      <c r="I316" s="10">
        <v>1</v>
      </c>
      <c r="J316" s="18">
        <f>G316/40</f>
        <v>0.625</v>
      </c>
      <c r="K316" s="30">
        <f t="shared" si="48"/>
        <v>3.9258793969849251</v>
      </c>
      <c r="L316" s="30">
        <f t="shared" si="49"/>
        <v>3.9258793969849251</v>
      </c>
      <c r="P316" s="23"/>
      <c r="Q316" s="24"/>
    </row>
    <row r="317" spans="1:17">
      <c r="A317" s="7"/>
      <c r="C317" s="7"/>
      <c r="D317" s="29"/>
      <c r="E317" s="163" t="s">
        <v>1119</v>
      </c>
      <c r="F317" s="29">
        <v>2.8</v>
      </c>
      <c r="G317" s="64">
        <f t="shared" si="50"/>
        <v>0.7</v>
      </c>
      <c r="H317" s="10" t="s">
        <v>16</v>
      </c>
      <c r="I317" s="10">
        <v>5</v>
      </c>
      <c r="J317" s="13">
        <f>G317/7</f>
        <v>9.9999999999999992E-2</v>
      </c>
      <c r="K317" s="30">
        <f t="shared" si="48"/>
        <v>0.62814070351758788</v>
      </c>
      <c r="L317" s="30">
        <f t="shared" si="49"/>
        <v>3.1407035175879394</v>
      </c>
      <c r="P317" s="23"/>
      <c r="Q317" s="24"/>
    </row>
    <row r="318" spans="1:17">
      <c r="A318" s="7"/>
      <c r="C318" s="7"/>
      <c r="D318" s="29"/>
      <c r="E318" s="163" t="s">
        <v>1132</v>
      </c>
      <c r="F318" s="29">
        <v>13</v>
      </c>
      <c r="G318" s="64">
        <f t="shared" si="50"/>
        <v>3.25</v>
      </c>
      <c r="J318" s="18">
        <v>0</v>
      </c>
      <c r="K318" s="30">
        <f t="shared" si="48"/>
        <v>0</v>
      </c>
      <c r="L318" s="30">
        <f t="shared" si="49"/>
        <v>0</v>
      </c>
      <c r="P318" s="23"/>
      <c r="Q318" s="24">
        <v>3.3</v>
      </c>
    </row>
    <row r="319" spans="1:17">
      <c r="A319" s="7"/>
      <c r="C319" s="7"/>
      <c r="D319" s="29"/>
      <c r="E319" s="163" t="s">
        <v>1133</v>
      </c>
      <c r="F319" s="29">
        <v>6</v>
      </c>
      <c r="G319" s="64">
        <f t="shared" si="50"/>
        <v>1.5</v>
      </c>
      <c r="J319" s="18">
        <v>0</v>
      </c>
      <c r="K319" s="30">
        <f t="shared" si="48"/>
        <v>0</v>
      </c>
      <c r="L319" s="30">
        <f t="shared" si="49"/>
        <v>0</v>
      </c>
      <c r="P319" s="23">
        <v>1.5</v>
      </c>
      <c r="Q319" s="24"/>
    </row>
    <row r="320" spans="1:17">
      <c r="A320" s="7"/>
      <c r="C320" s="7"/>
      <c r="D320" s="29"/>
      <c r="E320" s="163" t="s">
        <v>1128</v>
      </c>
      <c r="F320" s="29">
        <v>3</v>
      </c>
      <c r="G320" s="66">
        <f t="shared" si="50"/>
        <v>0.75</v>
      </c>
      <c r="J320" s="18">
        <v>0</v>
      </c>
      <c r="K320" s="30">
        <f t="shared" si="48"/>
        <v>0</v>
      </c>
      <c r="L320" s="30">
        <f t="shared" si="49"/>
        <v>0</v>
      </c>
      <c r="P320" s="20">
        <f>G320*24/100</f>
        <v>0.18</v>
      </c>
      <c r="Q320" s="24"/>
    </row>
    <row r="321" spans="1:17">
      <c r="A321" s="7"/>
      <c r="C321" s="161" t="s">
        <v>1075</v>
      </c>
      <c r="D321" s="162" t="s">
        <v>1313</v>
      </c>
      <c r="E321" s="163" t="s">
        <v>1191</v>
      </c>
      <c r="F321" s="29">
        <v>400</v>
      </c>
      <c r="G321" s="64">
        <f t="shared" si="50"/>
        <v>100</v>
      </c>
      <c r="H321" s="10" t="s">
        <v>68</v>
      </c>
      <c r="I321" s="9">
        <v>1</v>
      </c>
      <c r="J321" s="18">
        <f>G321/40</f>
        <v>2.5</v>
      </c>
      <c r="K321" s="30">
        <f t="shared" si="48"/>
        <v>15.7035175879397</v>
      </c>
      <c r="L321" s="30">
        <f t="shared" si="49"/>
        <v>15.7035175879397</v>
      </c>
      <c r="P321" s="23"/>
      <c r="Q321" s="24"/>
    </row>
    <row r="322" spans="1:17">
      <c r="A322" s="7"/>
      <c r="C322" s="7"/>
      <c r="D322" s="29"/>
      <c r="E322" s="163" t="s">
        <v>1173</v>
      </c>
      <c r="F322" s="29">
        <v>50</v>
      </c>
      <c r="G322" s="64">
        <f t="shared" si="50"/>
        <v>12.5</v>
      </c>
      <c r="H322" s="10"/>
      <c r="I322" s="10"/>
      <c r="J322" s="13">
        <v>0</v>
      </c>
      <c r="K322" s="30">
        <f t="shared" si="48"/>
        <v>0</v>
      </c>
      <c r="L322" s="30">
        <f t="shared" si="49"/>
        <v>0</v>
      </c>
      <c r="P322" s="23"/>
      <c r="Q322" s="24"/>
    </row>
    <row r="323" spans="1:17">
      <c r="A323" s="7"/>
      <c r="C323" s="7"/>
      <c r="D323" s="29"/>
      <c r="E323" s="163" t="s">
        <v>1115</v>
      </c>
      <c r="F323" s="29">
        <v>10</v>
      </c>
      <c r="G323" s="64">
        <f t="shared" si="50"/>
        <v>2.5</v>
      </c>
      <c r="H323" s="10" t="s">
        <v>69</v>
      </c>
      <c r="I323" s="9">
        <v>5</v>
      </c>
      <c r="J323" s="13">
        <f>G323/50</f>
        <v>0.05</v>
      </c>
      <c r="K323" s="30">
        <f t="shared" si="48"/>
        <v>0.314070351758794</v>
      </c>
      <c r="L323" s="30">
        <f t="shared" si="49"/>
        <v>1.5703517587939699</v>
      </c>
      <c r="P323" s="23"/>
      <c r="Q323" s="24"/>
    </row>
    <row r="324" spans="1:17">
      <c r="A324" s="7"/>
      <c r="C324" s="7"/>
      <c r="D324" s="29"/>
      <c r="E324" s="163" t="s">
        <v>1151</v>
      </c>
      <c r="F324" s="29">
        <v>36</v>
      </c>
      <c r="G324" s="64">
        <f t="shared" si="50"/>
        <v>9</v>
      </c>
      <c r="J324" s="18">
        <v>0</v>
      </c>
      <c r="K324" s="30">
        <f t="shared" si="48"/>
        <v>0</v>
      </c>
      <c r="L324" s="30">
        <f t="shared" si="49"/>
        <v>0</v>
      </c>
      <c r="P324" s="23">
        <f>G324*16/100</f>
        <v>1.44</v>
      </c>
      <c r="Q324" s="24"/>
    </row>
    <row r="325" spans="1:17">
      <c r="A325" s="7"/>
      <c r="C325" s="7"/>
      <c r="D325" s="29"/>
      <c r="E325" s="163" t="s">
        <v>1152</v>
      </c>
      <c r="F325" s="29">
        <v>12</v>
      </c>
      <c r="G325" s="64">
        <f t="shared" si="50"/>
        <v>3</v>
      </c>
      <c r="J325" s="18">
        <v>0</v>
      </c>
      <c r="K325" s="30">
        <f t="shared" si="48"/>
        <v>0</v>
      </c>
      <c r="L325" s="30">
        <f t="shared" si="49"/>
        <v>0</v>
      </c>
      <c r="P325" s="23"/>
      <c r="Q325" s="24"/>
    </row>
    <row r="326" spans="1:17">
      <c r="A326" s="7"/>
      <c r="C326" s="159"/>
      <c r="D326" s="29"/>
      <c r="E326" s="163" t="s">
        <v>1153</v>
      </c>
      <c r="F326" s="29">
        <v>6</v>
      </c>
      <c r="G326" s="64">
        <f t="shared" si="50"/>
        <v>1.5</v>
      </c>
      <c r="J326" s="18">
        <v>0</v>
      </c>
      <c r="K326" s="30">
        <f t="shared" si="48"/>
        <v>0</v>
      </c>
      <c r="L326" s="30">
        <f t="shared" si="49"/>
        <v>0</v>
      </c>
      <c r="P326" s="23"/>
      <c r="Q326" s="24"/>
    </row>
    <row r="327" spans="1:17">
      <c r="A327" s="7"/>
      <c r="C327" s="7"/>
      <c r="D327" s="29"/>
      <c r="E327" s="163" t="s">
        <v>1117</v>
      </c>
      <c r="F327" s="29">
        <v>14</v>
      </c>
      <c r="G327" s="64">
        <f t="shared" si="50"/>
        <v>3.5</v>
      </c>
      <c r="H327" s="10" t="s">
        <v>14</v>
      </c>
      <c r="I327" s="9">
        <v>5</v>
      </c>
      <c r="J327" s="13">
        <f>G327/40</f>
        <v>8.7499999999999994E-2</v>
      </c>
      <c r="K327" s="30">
        <f t="shared" si="48"/>
        <v>0.54962311557788945</v>
      </c>
      <c r="L327" s="30">
        <f t="shared" si="49"/>
        <v>2.7481155778894473</v>
      </c>
      <c r="P327" s="23"/>
      <c r="Q327" s="24"/>
    </row>
    <row r="328" spans="1:17">
      <c r="A328" s="7"/>
      <c r="C328" s="7"/>
      <c r="D328" s="29"/>
      <c r="E328" s="163" t="s">
        <v>1119</v>
      </c>
      <c r="F328" s="29">
        <v>8</v>
      </c>
      <c r="G328" s="64">
        <f t="shared" si="50"/>
        <v>2</v>
      </c>
      <c r="H328" s="10" t="s">
        <v>70</v>
      </c>
      <c r="I328" s="9">
        <v>5</v>
      </c>
      <c r="J328" s="13">
        <f>G328/7</f>
        <v>0.2857142857142857</v>
      </c>
      <c r="K328" s="30">
        <f t="shared" si="48"/>
        <v>1.7946877243359656</v>
      </c>
      <c r="L328" s="30">
        <f t="shared" si="49"/>
        <v>8.9734386216798274</v>
      </c>
      <c r="P328" s="23"/>
      <c r="Q328" s="24"/>
    </row>
    <row r="329" spans="1:17">
      <c r="A329" s="7"/>
      <c r="C329" s="7"/>
      <c r="D329" s="29"/>
      <c r="E329" s="163" t="s">
        <v>1129</v>
      </c>
      <c r="F329" s="29">
        <v>6.5</v>
      </c>
      <c r="G329" s="64">
        <f t="shared" si="50"/>
        <v>1.625</v>
      </c>
      <c r="J329" s="18">
        <v>0</v>
      </c>
      <c r="K329" s="30">
        <f t="shared" si="48"/>
        <v>0</v>
      </c>
      <c r="L329" s="30">
        <f t="shared" si="49"/>
        <v>0</v>
      </c>
      <c r="P329" s="23"/>
      <c r="Q329" s="24">
        <v>1.6</v>
      </c>
    </row>
    <row r="330" spans="1:17">
      <c r="A330" s="7"/>
      <c r="C330" s="7"/>
      <c r="D330" s="29"/>
      <c r="E330" s="163" t="s">
        <v>1132</v>
      </c>
      <c r="F330" s="29">
        <v>13</v>
      </c>
      <c r="G330" s="64">
        <f t="shared" si="50"/>
        <v>3.25</v>
      </c>
      <c r="J330" s="18">
        <v>0</v>
      </c>
      <c r="K330" s="30">
        <f t="shared" si="48"/>
        <v>0</v>
      </c>
      <c r="L330" s="30">
        <f t="shared" si="49"/>
        <v>0</v>
      </c>
      <c r="P330" s="23"/>
      <c r="Q330" s="24">
        <v>3.3</v>
      </c>
    </row>
    <row r="331" spans="1:17">
      <c r="A331" s="7"/>
      <c r="C331" s="7"/>
      <c r="D331" s="29"/>
      <c r="E331" s="163" t="s">
        <v>1137</v>
      </c>
      <c r="F331" s="29">
        <v>3</v>
      </c>
      <c r="G331" s="64">
        <f t="shared" si="50"/>
        <v>0.75</v>
      </c>
      <c r="H331" s="10" t="s">
        <v>141</v>
      </c>
      <c r="I331" s="9">
        <v>2</v>
      </c>
      <c r="J331" s="13">
        <f>G331/8</f>
        <v>9.375E-2</v>
      </c>
      <c r="K331" s="30">
        <f t="shared" si="48"/>
        <v>0.58888190954773878</v>
      </c>
      <c r="L331" s="30">
        <f t="shared" si="49"/>
        <v>1.1777638190954776</v>
      </c>
      <c r="P331" s="23"/>
      <c r="Q331" s="21">
        <f>G331*53.8/100</f>
        <v>0.40349999999999997</v>
      </c>
    </row>
    <row r="332" spans="1:17">
      <c r="A332" s="7"/>
      <c r="C332" s="7"/>
      <c r="D332" s="29"/>
      <c r="E332" s="163" t="s">
        <v>1139</v>
      </c>
      <c r="F332" s="29">
        <v>100</v>
      </c>
      <c r="G332" s="64">
        <f t="shared" ref="G332:G339" si="51">F332/4</f>
        <v>25</v>
      </c>
      <c r="H332" s="10" t="s">
        <v>69</v>
      </c>
      <c r="I332" s="9">
        <v>5</v>
      </c>
      <c r="J332" s="13">
        <f>G332/70</f>
        <v>0.35714285714285715</v>
      </c>
      <c r="K332" s="30">
        <f t="shared" si="48"/>
        <v>2.2433596554199569</v>
      </c>
      <c r="L332" s="30">
        <f t="shared" si="49"/>
        <v>11.216798277099784</v>
      </c>
      <c r="P332" s="23"/>
      <c r="Q332" s="24"/>
    </row>
    <row r="333" spans="1:17">
      <c r="A333" s="7"/>
      <c r="C333" s="7"/>
      <c r="D333" s="29"/>
      <c r="E333" s="163" t="s">
        <v>1192</v>
      </c>
      <c r="F333" s="29">
        <v>70</v>
      </c>
      <c r="G333" s="64">
        <f t="shared" si="51"/>
        <v>17.5</v>
      </c>
      <c r="H333" s="10" t="s">
        <v>71</v>
      </c>
      <c r="I333" s="9">
        <v>4</v>
      </c>
      <c r="J333" s="13">
        <f>G333/70</f>
        <v>0.25</v>
      </c>
      <c r="K333" s="30">
        <f t="shared" si="48"/>
        <v>1.5703517587939697</v>
      </c>
      <c r="L333" s="30">
        <f t="shared" si="49"/>
        <v>6.2814070351758788</v>
      </c>
      <c r="P333" s="23"/>
      <c r="Q333" s="24"/>
    </row>
    <row r="334" spans="1:17">
      <c r="A334" s="7"/>
      <c r="C334" s="7"/>
      <c r="D334" s="29"/>
      <c r="E334" s="163" t="s">
        <v>1193</v>
      </c>
      <c r="F334" s="29">
        <v>60</v>
      </c>
      <c r="G334" s="64">
        <f t="shared" si="51"/>
        <v>15</v>
      </c>
      <c r="H334" s="46" t="s">
        <v>73</v>
      </c>
      <c r="I334" s="9">
        <v>2</v>
      </c>
      <c r="J334" s="13">
        <f>G334/60</f>
        <v>0.25</v>
      </c>
      <c r="K334" s="30">
        <f t="shared" si="48"/>
        <v>1.5703517587939697</v>
      </c>
      <c r="L334" s="30">
        <f t="shared" si="49"/>
        <v>3.1407035175879394</v>
      </c>
      <c r="P334" s="23"/>
      <c r="Q334" s="24"/>
    </row>
    <row r="335" spans="1:17">
      <c r="A335" s="7"/>
      <c r="C335" s="7"/>
      <c r="D335" s="29"/>
      <c r="E335" s="163" t="s">
        <v>1180</v>
      </c>
      <c r="F335" s="29">
        <v>16</v>
      </c>
      <c r="G335" s="64">
        <f t="shared" si="51"/>
        <v>4</v>
      </c>
      <c r="H335" s="10" t="s">
        <v>74</v>
      </c>
      <c r="I335" s="9">
        <v>5</v>
      </c>
      <c r="J335" s="13">
        <f>G335/15</f>
        <v>0.26666666666666666</v>
      </c>
      <c r="K335" s="30">
        <f t="shared" si="48"/>
        <v>1.675041876046901</v>
      </c>
      <c r="L335" s="30">
        <f t="shared" si="49"/>
        <v>8.3752093802345051</v>
      </c>
      <c r="P335" s="23"/>
      <c r="Q335" s="24"/>
    </row>
    <row r="336" spans="1:17">
      <c r="A336" s="7"/>
      <c r="C336" s="7"/>
      <c r="D336" s="29"/>
      <c r="E336" s="163" t="s">
        <v>1194</v>
      </c>
      <c r="F336" s="29">
        <v>16</v>
      </c>
      <c r="G336" s="64">
        <f t="shared" si="51"/>
        <v>4</v>
      </c>
      <c r="H336" s="46" t="s">
        <v>75</v>
      </c>
      <c r="I336" s="9">
        <v>2</v>
      </c>
      <c r="J336" s="13">
        <f>G336/60</f>
        <v>6.6666666666666666E-2</v>
      </c>
      <c r="K336" s="30">
        <f t="shared" si="48"/>
        <v>0.41876046901172526</v>
      </c>
      <c r="L336" s="30">
        <f t="shared" si="49"/>
        <v>0.83752093802345051</v>
      </c>
      <c r="P336" s="23"/>
      <c r="Q336" s="24"/>
    </row>
    <row r="337" spans="1:17">
      <c r="A337" s="7"/>
      <c r="C337" s="7"/>
      <c r="D337" s="29"/>
      <c r="E337" s="163" t="s">
        <v>1195</v>
      </c>
      <c r="F337" s="29">
        <v>3.5</v>
      </c>
      <c r="G337" s="64">
        <f t="shared" si="51"/>
        <v>0.875</v>
      </c>
      <c r="H337" s="46" t="s">
        <v>72</v>
      </c>
      <c r="I337" s="9">
        <v>2</v>
      </c>
      <c r="J337" s="13">
        <f>G338/8</f>
        <v>1.875</v>
      </c>
      <c r="K337" s="30">
        <f t="shared" si="48"/>
        <v>11.777638190954773</v>
      </c>
      <c r="L337" s="30">
        <f t="shared" si="49"/>
        <v>23.555276381909547</v>
      </c>
      <c r="P337" s="23"/>
      <c r="Q337" s="24"/>
    </row>
    <row r="338" spans="1:17">
      <c r="A338" s="7"/>
      <c r="C338" s="7"/>
      <c r="D338" s="29"/>
      <c r="E338" s="163" t="s">
        <v>418</v>
      </c>
      <c r="F338" s="29">
        <v>60</v>
      </c>
      <c r="G338" s="64">
        <f t="shared" si="51"/>
        <v>15</v>
      </c>
      <c r="H338" s="10" t="s">
        <v>30</v>
      </c>
      <c r="I338" s="9">
        <v>2</v>
      </c>
      <c r="J338" s="13">
        <f>G338/55</f>
        <v>0.27272727272727271</v>
      </c>
      <c r="K338" s="30">
        <f t="shared" si="48"/>
        <v>1.7131110095934217</v>
      </c>
      <c r="L338" s="30">
        <f t="shared" si="49"/>
        <v>3.4262220191868433</v>
      </c>
      <c r="P338" s="23"/>
      <c r="Q338" s="24"/>
    </row>
    <row r="339" spans="1:17">
      <c r="A339" s="7"/>
      <c r="C339" s="161" t="s">
        <v>1076</v>
      </c>
      <c r="D339" s="162" t="s">
        <v>1313</v>
      </c>
      <c r="E339" s="163" t="s">
        <v>1149</v>
      </c>
      <c r="F339" s="29">
        <v>50</v>
      </c>
      <c r="G339" s="64">
        <f t="shared" si="51"/>
        <v>12.5</v>
      </c>
      <c r="H339" s="10" t="s">
        <v>68</v>
      </c>
      <c r="I339" s="9">
        <v>1</v>
      </c>
      <c r="J339" s="18">
        <f>G339/40</f>
        <v>0.3125</v>
      </c>
      <c r="K339" s="30">
        <f t="shared" si="48"/>
        <v>1.9629396984924625</v>
      </c>
      <c r="L339" s="30">
        <f t="shared" si="49"/>
        <v>1.9629396984924625</v>
      </c>
      <c r="P339" s="23"/>
      <c r="Q339" s="24"/>
    </row>
    <row r="340" spans="1:17">
      <c r="A340" s="7"/>
      <c r="C340" s="7"/>
      <c r="D340" s="29"/>
      <c r="E340" s="163" t="s">
        <v>1196</v>
      </c>
      <c r="F340" s="29">
        <v>3</v>
      </c>
      <c r="G340" s="64">
        <f t="shared" ref="G340:G354" si="52">F340/4</f>
        <v>0.75</v>
      </c>
      <c r="H340" s="10" t="s">
        <v>69</v>
      </c>
      <c r="I340" s="9">
        <v>5</v>
      </c>
      <c r="J340" s="18">
        <f>G340/7</f>
        <v>0.10714285714285714</v>
      </c>
      <c r="K340" s="30">
        <f t="shared" si="48"/>
        <v>0.67300789662598703</v>
      </c>
      <c r="L340" s="30">
        <f t="shared" si="49"/>
        <v>3.3650394831299351</v>
      </c>
      <c r="P340" s="23"/>
      <c r="Q340" s="24"/>
    </row>
    <row r="341" spans="1:17">
      <c r="A341" s="7"/>
      <c r="C341" s="7"/>
      <c r="D341" s="29"/>
      <c r="E341" s="163" t="s">
        <v>1115</v>
      </c>
      <c r="F341" s="29">
        <v>10</v>
      </c>
      <c r="G341" s="64">
        <f t="shared" si="52"/>
        <v>2.5</v>
      </c>
      <c r="H341" s="10" t="s">
        <v>69</v>
      </c>
      <c r="I341" s="9">
        <v>5</v>
      </c>
      <c r="J341" s="13">
        <f>G341/50</f>
        <v>0.05</v>
      </c>
      <c r="K341" s="30">
        <f t="shared" si="48"/>
        <v>0.314070351758794</v>
      </c>
      <c r="L341" s="30">
        <f t="shared" si="49"/>
        <v>1.5703517587939699</v>
      </c>
      <c r="P341" s="23"/>
      <c r="Q341" s="24"/>
    </row>
    <row r="342" spans="1:17">
      <c r="A342" s="7"/>
      <c r="C342" s="7"/>
      <c r="D342" s="29"/>
      <c r="E342" s="163" t="s">
        <v>1151</v>
      </c>
      <c r="F342" s="29">
        <v>27</v>
      </c>
      <c r="G342" s="64">
        <f t="shared" si="52"/>
        <v>6.75</v>
      </c>
      <c r="J342" s="18">
        <v>0</v>
      </c>
      <c r="K342" s="30">
        <f t="shared" si="48"/>
        <v>0</v>
      </c>
      <c r="L342" s="30">
        <f t="shared" si="49"/>
        <v>0</v>
      </c>
      <c r="P342" s="23">
        <f>G342*16/100</f>
        <v>1.08</v>
      </c>
      <c r="Q342" s="24"/>
    </row>
    <row r="343" spans="1:17">
      <c r="A343" s="7"/>
      <c r="C343" s="7"/>
      <c r="D343" s="29"/>
      <c r="E343" s="163" t="s">
        <v>1152</v>
      </c>
      <c r="F343" s="29">
        <v>14</v>
      </c>
      <c r="G343" s="64">
        <f t="shared" si="52"/>
        <v>3.5</v>
      </c>
      <c r="J343" s="18">
        <v>0</v>
      </c>
      <c r="K343" s="30">
        <f t="shared" si="48"/>
        <v>0</v>
      </c>
      <c r="L343" s="30">
        <f t="shared" si="49"/>
        <v>0</v>
      </c>
      <c r="P343" s="23"/>
      <c r="Q343" s="24"/>
    </row>
    <row r="344" spans="1:17">
      <c r="A344" s="7"/>
      <c r="C344" s="7"/>
      <c r="D344" s="29"/>
      <c r="E344" s="163" t="s">
        <v>1204</v>
      </c>
      <c r="F344" s="29">
        <v>2.4</v>
      </c>
      <c r="G344" s="64">
        <f t="shared" si="52"/>
        <v>0.6</v>
      </c>
      <c r="H344" s="10" t="s">
        <v>14</v>
      </c>
      <c r="I344" s="9">
        <v>5</v>
      </c>
      <c r="J344" s="13">
        <f>G345/40</f>
        <v>8.7499999999999991E-3</v>
      </c>
      <c r="K344" s="30">
        <f t="shared" si="48"/>
        <v>5.4962311557788947E-2</v>
      </c>
      <c r="L344" s="30">
        <f t="shared" si="49"/>
        <v>0.27481155778894473</v>
      </c>
      <c r="P344" s="23"/>
      <c r="Q344" s="24"/>
    </row>
    <row r="345" spans="1:17">
      <c r="A345" s="7"/>
      <c r="C345" s="7"/>
      <c r="D345" s="29"/>
      <c r="E345" s="163" t="s">
        <v>1119</v>
      </c>
      <c r="F345" s="29">
        <v>1.4</v>
      </c>
      <c r="G345" s="64">
        <f t="shared" si="52"/>
        <v>0.35</v>
      </c>
      <c r="H345" s="10" t="s">
        <v>70</v>
      </c>
      <c r="I345" s="9">
        <v>5</v>
      </c>
      <c r="J345" s="13">
        <f>G345/7</f>
        <v>4.9999999999999996E-2</v>
      </c>
      <c r="K345" s="30">
        <f t="shared" si="48"/>
        <v>0.31407035175879394</v>
      </c>
      <c r="L345" s="30">
        <f t="shared" si="49"/>
        <v>1.5703517587939697</v>
      </c>
      <c r="P345" s="23"/>
      <c r="Q345" s="24"/>
    </row>
    <row r="346" spans="1:17">
      <c r="A346" s="7"/>
      <c r="C346" s="7"/>
      <c r="D346" s="29"/>
      <c r="E346" s="163" t="s">
        <v>1129</v>
      </c>
      <c r="F346" s="29">
        <v>26</v>
      </c>
      <c r="G346" s="64">
        <f t="shared" si="52"/>
        <v>6.5</v>
      </c>
      <c r="J346" s="18">
        <v>0</v>
      </c>
      <c r="K346" s="30">
        <f t="shared" si="48"/>
        <v>0</v>
      </c>
      <c r="L346" s="30">
        <f t="shared" si="49"/>
        <v>0</v>
      </c>
      <c r="P346" s="23"/>
      <c r="Q346" s="24">
        <v>6.5</v>
      </c>
    </row>
    <row r="347" spans="1:17">
      <c r="A347" s="7"/>
      <c r="C347" s="7"/>
      <c r="D347" s="29"/>
      <c r="E347" s="163" t="s">
        <v>1132</v>
      </c>
      <c r="F347" s="29">
        <v>10.5</v>
      </c>
      <c r="G347" s="64">
        <f t="shared" si="52"/>
        <v>2.625</v>
      </c>
      <c r="J347" s="18">
        <v>0</v>
      </c>
      <c r="K347" s="30">
        <f t="shared" si="48"/>
        <v>0</v>
      </c>
      <c r="L347" s="30">
        <f t="shared" si="49"/>
        <v>0</v>
      </c>
      <c r="P347" s="23"/>
      <c r="Q347" s="24">
        <v>2.6</v>
      </c>
    </row>
    <row r="348" spans="1:17">
      <c r="A348" s="7"/>
      <c r="C348" s="7"/>
      <c r="D348" s="29"/>
      <c r="E348" s="163" t="s">
        <v>1137</v>
      </c>
      <c r="F348" s="29">
        <v>4.5</v>
      </c>
      <c r="G348" s="64">
        <f t="shared" si="52"/>
        <v>1.125</v>
      </c>
      <c r="H348" s="10" t="s">
        <v>141</v>
      </c>
      <c r="I348" s="9">
        <v>2</v>
      </c>
      <c r="J348" s="13">
        <f>G348/8</f>
        <v>0.140625</v>
      </c>
      <c r="K348" s="30">
        <f t="shared" si="48"/>
        <v>0.883322864321608</v>
      </c>
      <c r="L348" s="30">
        <f t="shared" si="49"/>
        <v>1.766645728643216</v>
      </c>
      <c r="P348" s="23"/>
      <c r="Q348" s="21">
        <f>G348*53.8/100</f>
        <v>0.60524999999999995</v>
      </c>
    </row>
    <row r="349" spans="1:17">
      <c r="A349" s="7"/>
      <c r="C349" s="7"/>
      <c r="D349" s="29"/>
      <c r="E349" s="163" t="s">
        <v>1174</v>
      </c>
      <c r="F349" s="29">
        <v>70</v>
      </c>
      <c r="G349" s="64">
        <f t="shared" si="52"/>
        <v>17.5</v>
      </c>
      <c r="H349" s="10" t="s">
        <v>69</v>
      </c>
      <c r="I349" s="9">
        <v>5</v>
      </c>
      <c r="J349" s="13">
        <f>G349/70</f>
        <v>0.25</v>
      </c>
      <c r="K349" s="30">
        <f t="shared" si="48"/>
        <v>1.5703517587939697</v>
      </c>
      <c r="L349" s="30">
        <f t="shared" si="49"/>
        <v>7.8517587939698483</v>
      </c>
      <c r="P349" s="23"/>
      <c r="Q349" s="24"/>
    </row>
    <row r="350" spans="1:17">
      <c r="A350" s="7"/>
      <c r="C350" s="7"/>
      <c r="D350" s="29"/>
      <c r="E350" s="163" t="s">
        <v>1192</v>
      </c>
      <c r="F350" s="29">
        <v>30</v>
      </c>
      <c r="G350" s="64">
        <f t="shared" si="52"/>
        <v>7.5</v>
      </c>
      <c r="H350" s="10" t="s">
        <v>71</v>
      </c>
      <c r="I350" s="9">
        <v>4</v>
      </c>
      <c r="J350" s="13">
        <f>G350/70</f>
        <v>0.10714285714285714</v>
      </c>
      <c r="K350" s="30">
        <f t="shared" si="48"/>
        <v>0.67300789662598703</v>
      </c>
      <c r="L350" s="30">
        <f t="shared" si="49"/>
        <v>2.6920315865039481</v>
      </c>
      <c r="P350" s="23"/>
      <c r="Q350" s="24"/>
    </row>
    <row r="351" spans="1:17">
      <c r="A351" s="7"/>
      <c r="C351" s="7"/>
      <c r="D351" s="29"/>
      <c r="E351" s="163" t="s">
        <v>1182</v>
      </c>
      <c r="F351" s="29">
        <v>30</v>
      </c>
      <c r="G351" s="64">
        <f t="shared" si="52"/>
        <v>7.5</v>
      </c>
      <c r="H351" s="10" t="s">
        <v>69</v>
      </c>
      <c r="I351" s="9">
        <v>5</v>
      </c>
      <c r="J351" s="13">
        <f>G351/40</f>
        <v>0.1875</v>
      </c>
      <c r="K351" s="30">
        <f t="shared" si="48"/>
        <v>1.1777638190954776</v>
      </c>
      <c r="L351" s="30">
        <f t="shared" si="49"/>
        <v>5.8888190954773876</v>
      </c>
      <c r="P351" s="23"/>
      <c r="Q351" s="24"/>
    </row>
    <row r="352" spans="1:17">
      <c r="A352" s="7"/>
      <c r="C352" s="7"/>
      <c r="D352" s="29"/>
      <c r="E352" s="163" t="s">
        <v>1125</v>
      </c>
      <c r="F352" s="29">
        <v>50</v>
      </c>
      <c r="G352" s="64">
        <f t="shared" si="52"/>
        <v>12.5</v>
      </c>
      <c r="H352" s="10" t="s">
        <v>14</v>
      </c>
      <c r="I352" s="9">
        <v>5</v>
      </c>
      <c r="J352" s="13">
        <f>G352/70</f>
        <v>0.17857142857142858</v>
      </c>
      <c r="K352" s="30">
        <f t="shared" si="48"/>
        <v>1.1216798277099784</v>
      </c>
      <c r="L352" s="30">
        <f t="shared" si="49"/>
        <v>5.6083991385498919</v>
      </c>
      <c r="P352" s="23"/>
      <c r="Q352" s="24"/>
    </row>
    <row r="353" spans="1:19">
      <c r="A353" s="7"/>
      <c r="C353" s="7"/>
      <c r="D353" s="29"/>
      <c r="E353" s="163" t="s">
        <v>1197</v>
      </c>
      <c r="F353" s="29">
        <v>30</v>
      </c>
      <c r="G353" s="64">
        <f t="shared" si="52"/>
        <v>7.5</v>
      </c>
      <c r="H353" s="10" t="s">
        <v>69</v>
      </c>
      <c r="I353" s="9">
        <v>5</v>
      </c>
      <c r="J353" s="13">
        <f>G353/70</f>
        <v>0.10714285714285714</v>
      </c>
      <c r="K353" s="30">
        <f t="shared" si="48"/>
        <v>0.67300789662598703</v>
      </c>
      <c r="L353" s="30">
        <f t="shared" si="49"/>
        <v>3.3650394831299351</v>
      </c>
      <c r="P353" s="23"/>
      <c r="Q353" s="24"/>
    </row>
    <row r="354" spans="1:19">
      <c r="A354" s="7"/>
      <c r="C354" s="7"/>
      <c r="D354" s="29"/>
      <c r="E354" s="163" t="s">
        <v>418</v>
      </c>
      <c r="F354" s="29">
        <v>60</v>
      </c>
      <c r="G354" s="64">
        <f t="shared" si="52"/>
        <v>15</v>
      </c>
      <c r="H354" s="10" t="s">
        <v>30</v>
      </c>
      <c r="I354" s="9">
        <v>2</v>
      </c>
      <c r="J354" s="13">
        <f>G354/55</f>
        <v>0.27272727272727271</v>
      </c>
      <c r="K354" s="30">
        <f t="shared" si="48"/>
        <v>1.7131110095934217</v>
      </c>
      <c r="L354" s="30">
        <f t="shared" si="49"/>
        <v>3.4262220191868433</v>
      </c>
      <c r="P354" s="23"/>
      <c r="Q354" s="24"/>
    </row>
    <row r="355" spans="1:19">
      <c r="A355" s="7"/>
      <c r="C355" s="7"/>
      <c r="D355" s="29"/>
      <c r="E355" s="163" t="s">
        <v>1198</v>
      </c>
      <c r="F355" s="29">
        <v>60</v>
      </c>
      <c r="G355" s="64">
        <f t="shared" si="50"/>
        <v>15</v>
      </c>
      <c r="H355" s="10" t="s">
        <v>15</v>
      </c>
      <c r="I355" s="9">
        <v>2</v>
      </c>
      <c r="J355" s="13">
        <f>G355/30</f>
        <v>0.5</v>
      </c>
      <c r="K355" s="30">
        <f t="shared" si="48"/>
        <v>3.1407035175879394</v>
      </c>
      <c r="L355" s="30">
        <f t="shared" si="49"/>
        <v>6.2814070351758788</v>
      </c>
      <c r="P355" s="23"/>
      <c r="Q355" s="24"/>
    </row>
    <row r="356" spans="1:19">
      <c r="C356" s="163" t="s">
        <v>1048</v>
      </c>
      <c r="D356" s="162" t="s">
        <v>1310</v>
      </c>
      <c r="E356" s="163" t="s">
        <v>1136</v>
      </c>
      <c r="G356" s="67">
        <v>50</v>
      </c>
      <c r="H356" s="10" t="s">
        <v>56</v>
      </c>
      <c r="I356" s="9">
        <v>5</v>
      </c>
      <c r="J356" s="13">
        <f>G356/70</f>
        <v>0.7142857142857143</v>
      </c>
      <c r="K356" s="30">
        <f t="shared" si="48"/>
        <v>4.4867193108399137</v>
      </c>
      <c r="L356" s="30">
        <f t="shared" si="49"/>
        <v>22.433596554199568</v>
      </c>
    </row>
    <row r="357" spans="1:19">
      <c r="E357" s="163" t="s">
        <v>1117</v>
      </c>
      <c r="F357" s="29">
        <v>4.5</v>
      </c>
      <c r="G357" s="66">
        <v>0.55000000000000004</v>
      </c>
      <c r="H357" s="10" t="s">
        <v>14</v>
      </c>
      <c r="I357" s="10">
        <v>5</v>
      </c>
      <c r="J357" s="13">
        <f>G358/40</f>
        <v>8.7499999999999991E-3</v>
      </c>
      <c r="K357" s="30">
        <f t="shared" si="48"/>
        <v>5.4962311557788947E-2</v>
      </c>
      <c r="L357" s="30">
        <f t="shared" si="49"/>
        <v>0.27481155778894473</v>
      </c>
    </row>
    <row r="358" spans="1:19">
      <c r="E358" s="163" t="s">
        <v>1119</v>
      </c>
      <c r="F358" s="29">
        <v>2.8</v>
      </c>
      <c r="G358" s="66">
        <v>0.35</v>
      </c>
      <c r="H358" s="10" t="s">
        <v>16</v>
      </c>
      <c r="I358" s="10">
        <v>5</v>
      </c>
      <c r="J358" s="13">
        <f>G358/7</f>
        <v>4.9999999999999996E-2</v>
      </c>
      <c r="K358" s="30">
        <f t="shared" si="48"/>
        <v>0.31407035175879394</v>
      </c>
      <c r="L358" s="30">
        <f t="shared" si="49"/>
        <v>1.5703517587939697</v>
      </c>
    </row>
    <row r="359" spans="1:19">
      <c r="E359" s="163" t="s">
        <v>1137</v>
      </c>
      <c r="F359" s="29">
        <v>3.5</v>
      </c>
      <c r="G359" s="66">
        <v>0.45</v>
      </c>
      <c r="H359" s="10" t="s">
        <v>141</v>
      </c>
      <c r="I359" s="9">
        <v>2</v>
      </c>
      <c r="J359" s="13">
        <f>G359/8</f>
        <v>5.6250000000000001E-2</v>
      </c>
      <c r="K359" s="30">
        <f t="shared" si="48"/>
        <v>0.35332914572864321</v>
      </c>
      <c r="L359" s="30">
        <f t="shared" si="49"/>
        <v>0.70665829145728642</v>
      </c>
      <c r="Q359" s="21">
        <f>G359*53.8/100</f>
        <v>0.24210000000000001</v>
      </c>
    </row>
    <row r="360" spans="1:19">
      <c r="E360" s="163" t="s">
        <v>1133</v>
      </c>
      <c r="G360" s="67">
        <v>0.75</v>
      </c>
      <c r="J360" s="18">
        <v>0</v>
      </c>
      <c r="K360" s="30">
        <f t="shared" si="48"/>
        <v>0</v>
      </c>
      <c r="L360" s="30">
        <f t="shared" si="49"/>
        <v>0</v>
      </c>
      <c r="P360" s="20">
        <v>0.8</v>
      </c>
    </row>
    <row r="361" spans="1:19">
      <c r="E361" s="163" t="s">
        <v>1128</v>
      </c>
      <c r="F361" s="29">
        <v>3</v>
      </c>
      <c r="G361" s="66">
        <v>0.4</v>
      </c>
      <c r="J361" s="18">
        <v>0</v>
      </c>
      <c r="K361" s="30">
        <f t="shared" si="48"/>
        <v>0</v>
      </c>
      <c r="L361" s="30">
        <f t="shared" si="49"/>
        <v>0</v>
      </c>
      <c r="P361" s="20">
        <v>0.4</v>
      </c>
    </row>
    <row r="362" spans="1:19">
      <c r="E362" s="163" t="s">
        <v>1132</v>
      </c>
      <c r="F362" s="29">
        <v>8</v>
      </c>
      <c r="G362" s="66">
        <v>1</v>
      </c>
      <c r="J362" s="18">
        <v>0</v>
      </c>
      <c r="K362" s="30">
        <f t="shared" si="48"/>
        <v>0</v>
      </c>
      <c r="L362" s="30">
        <f t="shared" si="49"/>
        <v>0</v>
      </c>
      <c r="Q362" s="21">
        <v>1</v>
      </c>
    </row>
    <row r="363" spans="1:19">
      <c r="C363" s="166" t="s">
        <v>1063</v>
      </c>
      <c r="D363" s="162" t="s">
        <v>1310</v>
      </c>
      <c r="E363" s="163" t="s">
        <v>1163</v>
      </c>
      <c r="F363" s="29">
        <v>220</v>
      </c>
      <c r="G363" s="64">
        <v>27.5</v>
      </c>
      <c r="H363" s="10" t="s">
        <v>23</v>
      </c>
      <c r="I363" s="10">
        <v>5</v>
      </c>
      <c r="J363" s="18">
        <f>G363/70</f>
        <v>0.39285714285714285</v>
      </c>
      <c r="K363" s="30">
        <f t="shared" si="48"/>
        <v>2.4676956209619525</v>
      </c>
      <c r="L363" s="30">
        <f t="shared" si="49"/>
        <v>12.338478104809763</v>
      </c>
    </row>
    <row r="364" spans="1:19">
      <c r="D364" s="42"/>
      <c r="E364" s="162" t="s">
        <v>1128</v>
      </c>
      <c r="F364" s="32">
        <v>18</v>
      </c>
      <c r="G364" s="64">
        <v>2.25</v>
      </c>
      <c r="J364" s="18">
        <v>0</v>
      </c>
      <c r="K364" s="30">
        <f t="shared" si="48"/>
        <v>0</v>
      </c>
      <c r="L364" s="30">
        <f t="shared" si="49"/>
        <v>0</v>
      </c>
      <c r="P364" s="20">
        <f>G364*24/100</f>
        <v>0.54</v>
      </c>
    </row>
    <row r="365" spans="1:19">
      <c r="A365" s="7"/>
      <c r="B365" s="7"/>
      <c r="E365" s="162" t="s">
        <v>1117</v>
      </c>
      <c r="F365" s="31">
        <v>7</v>
      </c>
      <c r="G365" s="64">
        <v>0.9</v>
      </c>
      <c r="H365" s="10" t="s">
        <v>14</v>
      </c>
      <c r="I365" s="10">
        <v>5</v>
      </c>
      <c r="J365" s="13">
        <f>G365/40</f>
        <v>2.2499999999999999E-2</v>
      </c>
      <c r="K365" s="30">
        <f t="shared" si="48"/>
        <v>0.1413316582914573</v>
      </c>
      <c r="L365" s="30">
        <f t="shared" si="49"/>
        <v>0.70665829145728654</v>
      </c>
      <c r="R365" s="7"/>
      <c r="S365" s="7"/>
    </row>
    <row r="366" spans="1:19">
      <c r="A366" s="7"/>
      <c r="B366" s="7"/>
      <c r="E366" s="162" t="s">
        <v>1119</v>
      </c>
      <c r="F366" s="31">
        <v>5.5</v>
      </c>
      <c r="G366" s="64">
        <v>0.7</v>
      </c>
      <c r="H366" s="10" t="s">
        <v>16</v>
      </c>
      <c r="I366" s="10">
        <v>5</v>
      </c>
      <c r="J366" s="13">
        <f>G366/7</f>
        <v>9.9999999999999992E-2</v>
      </c>
      <c r="K366" s="30">
        <f t="shared" si="48"/>
        <v>0.62814070351758788</v>
      </c>
      <c r="L366" s="30">
        <f t="shared" si="49"/>
        <v>3.1407035175879394</v>
      </c>
      <c r="R366" s="7"/>
      <c r="S366" s="7"/>
    </row>
    <row r="367" spans="1:19">
      <c r="A367" s="7"/>
      <c r="B367" s="7"/>
      <c r="E367" s="162" t="s">
        <v>1129</v>
      </c>
      <c r="F367" s="31">
        <v>13</v>
      </c>
      <c r="G367" s="64">
        <v>1.65</v>
      </c>
      <c r="H367" s="10"/>
      <c r="I367" s="10"/>
      <c r="J367" s="13">
        <v>0</v>
      </c>
      <c r="K367" s="30">
        <f t="shared" si="48"/>
        <v>0</v>
      </c>
      <c r="L367" s="30">
        <f t="shared" si="49"/>
        <v>0</v>
      </c>
      <c r="Q367" s="21">
        <v>1.7</v>
      </c>
      <c r="R367" s="7"/>
      <c r="S367" s="7"/>
    </row>
    <row r="368" spans="1:19">
      <c r="E368" s="162" t="s">
        <v>1132</v>
      </c>
      <c r="F368" s="31">
        <v>6.5</v>
      </c>
      <c r="G368" s="64">
        <v>0.8</v>
      </c>
      <c r="H368" s="10"/>
      <c r="I368" s="10"/>
      <c r="J368" s="13">
        <v>0</v>
      </c>
      <c r="K368" s="30">
        <f t="shared" si="48"/>
        <v>0</v>
      </c>
      <c r="L368" s="30">
        <f t="shared" si="49"/>
        <v>0</v>
      </c>
      <c r="Q368" s="21">
        <v>0.8</v>
      </c>
      <c r="R368" s="7"/>
      <c r="S368" s="7"/>
    </row>
    <row r="369" spans="1:17">
      <c r="E369" s="162" t="s">
        <v>1155</v>
      </c>
      <c r="F369" s="31">
        <v>2</v>
      </c>
      <c r="G369" s="64">
        <v>0.25</v>
      </c>
      <c r="H369" s="10" t="s">
        <v>141</v>
      </c>
      <c r="I369" s="9">
        <v>2</v>
      </c>
      <c r="J369" s="13">
        <f>G369/8</f>
        <v>3.125E-2</v>
      </c>
      <c r="K369" s="30">
        <f t="shared" si="48"/>
        <v>0.19629396984924621</v>
      </c>
      <c r="L369" s="30">
        <f t="shared" si="49"/>
        <v>0.39258793969849243</v>
      </c>
      <c r="Q369" s="21">
        <v>0.3</v>
      </c>
    </row>
    <row r="370" spans="1:17">
      <c r="C370" s="163" t="s">
        <v>1049</v>
      </c>
      <c r="D370" s="162" t="s">
        <v>1310</v>
      </c>
      <c r="E370" s="162" t="s">
        <v>1138</v>
      </c>
      <c r="F370" s="31">
        <v>4800</v>
      </c>
      <c r="G370" s="66">
        <f>F370/60</f>
        <v>80</v>
      </c>
      <c r="H370" s="10" t="s">
        <v>91</v>
      </c>
      <c r="I370" s="9">
        <v>5</v>
      </c>
      <c r="J370" s="13">
        <f>G370/70</f>
        <v>1.1428571428571428</v>
      </c>
      <c r="K370" s="30">
        <f t="shared" si="48"/>
        <v>7.1787508973438623</v>
      </c>
      <c r="L370" s="30">
        <f t="shared" si="49"/>
        <v>35.89375448671931</v>
      </c>
    </row>
    <row r="371" spans="1:17">
      <c r="E371" s="162" t="s">
        <v>1139</v>
      </c>
      <c r="F371" s="31">
        <v>1000</v>
      </c>
      <c r="G371" s="66">
        <f t="shared" ref="G371:G378" si="53">F371/60</f>
        <v>16.666666666666668</v>
      </c>
      <c r="H371" s="10" t="s">
        <v>23</v>
      </c>
      <c r="I371" s="10">
        <v>5</v>
      </c>
      <c r="J371" s="13">
        <f>G371/70</f>
        <v>0.23809523809523811</v>
      </c>
      <c r="K371" s="30">
        <f t="shared" si="48"/>
        <v>1.4955731036133049</v>
      </c>
      <c r="L371" s="30">
        <f t="shared" si="49"/>
        <v>7.4778655180665243</v>
      </c>
    </row>
    <row r="372" spans="1:17">
      <c r="E372" s="162" t="s">
        <v>1140</v>
      </c>
      <c r="F372" s="31">
        <v>100</v>
      </c>
      <c r="G372" s="66">
        <f t="shared" si="53"/>
        <v>1.6666666666666667</v>
      </c>
      <c r="H372" s="10" t="s">
        <v>23</v>
      </c>
      <c r="I372" s="10">
        <v>5</v>
      </c>
      <c r="J372" s="13">
        <f>G372/70</f>
        <v>2.3809523809523812E-2</v>
      </c>
      <c r="K372" s="30">
        <f t="shared" si="48"/>
        <v>0.14955731036133049</v>
      </c>
      <c r="L372" s="30">
        <f t="shared" si="49"/>
        <v>0.74778655180665243</v>
      </c>
    </row>
    <row r="373" spans="1:17">
      <c r="E373" s="162" t="s">
        <v>1277</v>
      </c>
      <c r="F373" s="31">
        <v>200</v>
      </c>
      <c r="G373" s="66">
        <f t="shared" si="53"/>
        <v>3.3333333333333335</v>
      </c>
      <c r="H373" s="10" t="s">
        <v>14</v>
      </c>
      <c r="I373" s="10">
        <v>5</v>
      </c>
      <c r="J373" s="13">
        <f>G373/40</f>
        <v>8.3333333333333343E-2</v>
      </c>
      <c r="K373" s="30">
        <f t="shared" si="48"/>
        <v>0.52345058626465668</v>
      </c>
      <c r="L373" s="30">
        <f t="shared" si="49"/>
        <v>2.6172529313232835</v>
      </c>
    </row>
    <row r="374" spans="1:17">
      <c r="E374" s="162" t="s">
        <v>1142</v>
      </c>
      <c r="F374" s="31">
        <v>200</v>
      </c>
      <c r="G374" s="66">
        <f t="shared" si="53"/>
        <v>3.3333333333333335</v>
      </c>
      <c r="H374" s="10" t="s">
        <v>23</v>
      </c>
      <c r="I374" s="10">
        <v>5</v>
      </c>
      <c r="J374" s="13">
        <f>G374/40</f>
        <v>8.3333333333333343E-2</v>
      </c>
      <c r="K374" s="30">
        <f t="shared" si="48"/>
        <v>0.52345058626465668</v>
      </c>
      <c r="L374" s="30">
        <f t="shared" si="49"/>
        <v>2.6172529313232835</v>
      </c>
    </row>
    <row r="375" spans="1:17">
      <c r="E375" s="162" t="s">
        <v>1143</v>
      </c>
      <c r="F375" s="31">
        <v>200</v>
      </c>
      <c r="G375" s="66">
        <f t="shared" si="53"/>
        <v>3.3333333333333335</v>
      </c>
      <c r="H375" s="10" t="s">
        <v>21</v>
      </c>
      <c r="I375" s="10">
        <v>4</v>
      </c>
      <c r="J375" s="13">
        <v>0.05</v>
      </c>
      <c r="K375" s="30">
        <f t="shared" si="48"/>
        <v>0.314070351758794</v>
      </c>
      <c r="L375" s="30">
        <f t="shared" si="49"/>
        <v>1.256281407035176</v>
      </c>
    </row>
    <row r="376" spans="1:17">
      <c r="E376" s="162" t="s">
        <v>1116</v>
      </c>
      <c r="F376" s="31">
        <v>200</v>
      </c>
      <c r="G376" s="66">
        <f t="shared" si="53"/>
        <v>3.3333333333333335</v>
      </c>
      <c r="H376" s="10" t="s">
        <v>14</v>
      </c>
      <c r="I376" s="10">
        <v>5</v>
      </c>
      <c r="J376" s="13">
        <f>G376/40</f>
        <v>8.3333333333333343E-2</v>
      </c>
      <c r="K376" s="30">
        <f t="shared" si="48"/>
        <v>0.52345058626465668</v>
      </c>
      <c r="L376" s="30">
        <f t="shared" si="49"/>
        <v>2.6172529313232835</v>
      </c>
    </row>
    <row r="377" spans="1:17">
      <c r="E377" s="162" t="s">
        <v>1121</v>
      </c>
      <c r="F377" s="31">
        <v>80</v>
      </c>
      <c r="G377" s="66">
        <f t="shared" si="53"/>
        <v>1.3333333333333333</v>
      </c>
      <c r="H377" s="10" t="s">
        <v>16</v>
      </c>
      <c r="I377" s="10">
        <v>5</v>
      </c>
      <c r="J377" s="13">
        <f>G377/7</f>
        <v>0.19047619047619047</v>
      </c>
      <c r="K377" s="30">
        <f t="shared" si="48"/>
        <v>1.1964584828906437</v>
      </c>
      <c r="L377" s="30">
        <f t="shared" si="49"/>
        <v>5.9822924144532186</v>
      </c>
    </row>
    <row r="378" spans="1:17">
      <c r="E378" s="162" t="s">
        <v>1144</v>
      </c>
      <c r="F378" s="31">
        <v>36</v>
      </c>
      <c r="G378" s="66">
        <f t="shared" si="53"/>
        <v>0.6</v>
      </c>
      <c r="H378" s="10" t="s">
        <v>23</v>
      </c>
      <c r="I378" s="10">
        <v>5</v>
      </c>
      <c r="J378" s="13">
        <f>G378/34</f>
        <v>1.7647058823529412E-2</v>
      </c>
      <c r="K378" s="30">
        <f t="shared" si="48"/>
        <v>0.11084835944428022</v>
      </c>
      <c r="L378" s="30">
        <f t="shared" si="49"/>
        <v>0.5542417972214011</v>
      </c>
    </row>
    <row r="379" spans="1:17">
      <c r="E379" s="162" t="s">
        <v>1145</v>
      </c>
      <c r="F379" s="31">
        <v>130</v>
      </c>
      <c r="G379" s="66">
        <f>F379/60</f>
        <v>2.1666666666666665</v>
      </c>
      <c r="H379" s="10" t="s">
        <v>23</v>
      </c>
      <c r="I379" s="10">
        <v>5</v>
      </c>
      <c r="J379" s="13">
        <v>0</v>
      </c>
      <c r="K379" s="30">
        <f t="shared" ref="K379:K382" si="54">J379/15.92*100</f>
        <v>0</v>
      </c>
      <c r="L379" s="30">
        <f t="shared" ref="L379:L382" si="55">K379*I379</f>
        <v>0</v>
      </c>
    </row>
    <row r="380" spans="1:17">
      <c r="E380" s="164" t="s">
        <v>1212</v>
      </c>
      <c r="F380" s="31"/>
      <c r="G380" s="66">
        <v>0.7</v>
      </c>
      <c r="J380" s="18">
        <v>0</v>
      </c>
      <c r="K380" s="30">
        <f t="shared" si="54"/>
        <v>0</v>
      </c>
      <c r="L380" s="30">
        <f t="shared" si="55"/>
        <v>0</v>
      </c>
      <c r="P380" s="20">
        <v>0.7</v>
      </c>
    </row>
    <row r="381" spans="1:17">
      <c r="E381" s="162" t="s">
        <v>1146</v>
      </c>
      <c r="F381" s="31">
        <v>100</v>
      </c>
      <c r="G381" s="66">
        <f>F381/60</f>
        <v>1.6666666666666667</v>
      </c>
      <c r="J381" s="18">
        <v>0</v>
      </c>
      <c r="K381" s="30">
        <f t="shared" si="54"/>
        <v>0</v>
      </c>
      <c r="L381" s="30">
        <f t="shared" si="55"/>
        <v>0</v>
      </c>
      <c r="P381" s="20">
        <f>G381*22/100</f>
        <v>0.3666666666666667</v>
      </c>
    </row>
    <row r="382" spans="1:17">
      <c r="E382" s="162" t="s">
        <v>1147</v>
      </c>
      <c r="F382" s="31">
        <v>100</v>
      </c>
      <c r="G382" s="66">
        <f>F382/60</f>
        <v>1.6666666666666667</v>
      </c>
      <c r="J382" s="18">
        <v>0</v>
      </c>
      <c r="K382" s="30">
        <f t="shared" si="54"/>
        <v>0</v>
      </c>
      <c r="L382" s="30">
        <f t="shared" si="55"/>
        <v>0</v>
      </c>
      <c r="P382" s="20">
        <f>5*G382/100</f>
        <v>8.3333333333333343E-2</v>
      </c>
    </row>
    <row r="383" spans="1:17" ht="17.25" thickBot="1">
      <c r="A383" s="37"/>
      <c r="B383" s="37"/>
      <c r="C383" s="37"/>
      <c r="D383" s="40"/>
      <c r="E383" s="165"/>
      <c r="F383" s="37"/>
      <c r="G383" s="68"/>
      <c r="H383" s="37"/>
      <c r="I383" s="39"/>
      <c r="J383" s="26">
        <f>SUM(J314:J382)</f>
        <v>15.915773307574781</v>
      </c>
      <c r="K383" s="38">
        <f>SUM(K314:K382)</f>
        <v>99.973450424464744</v>
      </c>
      <c r="L383" s="38"/>
      <c r="M383" s="38">
        <f>SUM(L314:L382)</f>
        <v>283.88997798314608</v>
      </c>
      <c r="N383" s="37" t="s">
        <v>64</v>
      </c>
      <c r="O383" s="37" t="s">
        <v>77</v>
      </c>
      <c r="P383" s="27">
        <f>SUM(P314:P382)</f>
        <v>7.0900000000000007</v>
      </c>
      <c r="Q383" s="28">
        <f>SUM(Q314:Q382)</f>
        <v>22.350850000000001</v>
      </c>
    </row>
    <row r="384" spans="1:17">
      <c r="A384" s="7">
        <v>13</v>
      </c>
      <c r="B384" s="7" t="s">
        <v>78</v>
      </c>
      <c r="C384" s="161" t="s">
        <v>1114</v>
      </c>
      <c r="E384" s="163" t="s">
        <v>1114</v>
      </c>
      <c r="G384" s="64">
        <v>90</v>
      </c>
      <c r="H384" s="10" t="s">
        <v>15</v>
      </c>
      <c r="I384" s="10">
        <v>2</v>
      </c>
      <c r="J384" s="13">
        <f>G384/30</f>
        <v>3</v>
      </c>
      <c r="K384" s="30">
        <f>J384/8.27*100</f>
        <v>36.275695284159617</v>
      </c>
      <c r="L384" s="30">
        <f>K384*I384</f>
        <v>72.551390568319235</v>
      </c>
      <c r="P384" s="23"/>
      <c r="Q384" s="24"/>
    </row>
    <row r="385" spans="1:17">
      <c r="A385" s="7"/>
      <c r="C385" s="161" t="s">
        <v>1077</v>
      </c>
      <c r="D385" s="29" t="s">
        <v>1365</v>
      </c>
      <c r="E385" s="163" t="s">
        <v>1199</v>
      </c>
      <c r="G385" s="64">
        <v>30</v>
      </c>
      <c r="H385" s="10"/>
      <c r="I385" s="10"/>
      <c r="J385" s="18">
        <v>0</v>
      </c>
      <c r="K385" s="30">
        <f t="shared" ref="K385:K404" si="56">J385/8.27*100</f>
        <v>0</v>
      </c>
      <c r="L385" s="30">
        <f t="shared" ref="L385:L404" si="57">K385*I385</f>
        <v>0</v>
      </c>
      <c r="P385" s="23">
        <f>G385*11.8/100</f>
        <v>3.54</v>
      </c>
      <c r="Q385" s="24"/>
    </row>
    <row r="386" spans="1:17">
      <c r="A386" s="7"/>
      <c r="C386" s="7"/>
      <c r="D386" s="29"/>
      <c r="E386" s="163" t="s">
        <v>1126</v>
      </c>
      <c r="G386" s="64">
        <v>130</v>
      </c>
      <c r="H386" s="10" t="s">
        <v>83</v>
      </c>
      <c r="I386" s="9">
        <v>2</v>
      </c>
      <c r="J386" s="18">
        <f>G386/140</f>
        <v>0.9285714285714286</v>
      </c>
      <c r="K386" s="30">
        <f t="shared" si="56"/>
        <v>11.228191397477977</v>
      </c>
      <c r="L386" s="30">
        <f t="shared" si="57"/>
        <v>22.456382794955953</v>
      </c>
      <c r="P386" s="23"/>
      <c r="Q386" s="24"/>
    </row>
    <row r="387" spans="1:17">
      <c r="A387" s="7"/>
      <c r="C387" s="7"/>
      <c r="D387" s="29"/>
      <c r="E387" s="163" t="s">
        <v>1200</v>
      </c>
      <c r="G387" s="64">
        <v>40</v>
      </c>
      <c r="H387" s="10" t="s">
        <v>84</v>
      </c>
      <c r="I387" s="9">
        <v>1</v>
      </c>
      <c r="J387" s="13">
        <f>G387/40</f>
        <v>1</v>
      </c>
      <c r="K387" s="30">
        <f t="shared" si="56"/>
        <v>12.091898428053206</v>
      </c>
      <c r="L387" s="30">
        <f t="shared" si="57"/>
        <v>12.091898428053206</v>
      </c>
      <c r="P387" s="23"/>
      <c r="Q387" s="24"/>
    </row>
    <row r="388" spans="1:17">
      <c r="A388" s="7"/>
      <c r="C388" s="7"/>
      <c r="D388" s="29"/>
      <c r="E388" s="163" t="s">
        <v>1192</v>
      </c>
      <c r="G388" s="64">
        <v>30</v>
      </c>
      <c r="H388" s="10" t="s">
        <v>26</v>
      </c>
      <c r="I388" s="9">
        <v>4</v>
      </c>
      <c r="J388" s="13">
        <f>G388/70</f>
        <v>0.42857142857142855</v>
      </c>
      <c r="K388" s="30">
        <f t="shared" si="56"/>
        <v>5.1822421834513728</v>
      </c>
      <c r="L388" s="30">
        <f t="shared" si="57"/>
        <v>20.728968733805491</v>
      </c>
      <c r="P388" s="23"/>
      <c r="Q388" s="24"/>
    </row>
    <row r="389" spans="1:17">
      <c r="A389" s="7"/>
      <c r="C389" s="7"/>
      <c r="D389" s="29"/>
      <c r="E389" s="163" t="s">
        <v>1059</v>
      </c>
      <c r="G389" s="64">
        <v>30</v>
      </c>
      <c r="H389" s="10" t="s">
        <v>23</v>
      </c>
      <c r="I389" s="9">
        <v>5</v>
      </c>
      <c r="J389" s="13">
        <f>G389/70</f>
        <v>0.42857142857142855</v>
      </c>
      <c r="K389" s="30">
        <f t="shared" si="56"/>
        <v>5.1822421834513728</v>
      </c>
      <c r="L389" s="30">
        <f t="shared" si="57"/>
        <v>25.911210917256863</v>
      </c>
      <c r="P389" s="23"/>
      <c r="Q389" s="24"/>
    </row>
    <row r="390" spans="1:17">
      <c r="A390" s="7"/>
      <c r="C390" s="7"/>
      <c r="D390" s="29"/>
      <c r="E390" s="163" t="s">
        <v>1125</v>
      </c>
      <c r="G390" s="66">
        <v>40</v>
      </c>
      <c r="H390" s="10" t="s">
        <v>85</v>
      </c>
      <c r="I390" s="9">
        <v>5</v>
      </c>
      <c r="J390" s="13">
        <f>G390/70</f>
        <v>0.5714285714285714</v>
      </c>
      <c r="K390" s="30">
        <f t="shared" si="56"/>
        <v>6.9096562446018304</v>
      </c>
      <c r="L390" s="30">
        <f t="shared" si="57"/>
        <v>34.548281223009155</v>
      </c>
      <c r="Q390" s="24"/>
    </row>
    <row r="391" spans="1:17">
      <c r="A391" s="7"/>
      <c r="C391" s="7"/>
      <c r="D391" s="29"/>
      <c r="E391" s="163" t="s">
        <v>1129</v>
      </c>
      <c r="G391" s="66">
        <v>5</v>
      </c>
      <c r="J391" s="18">
        <v>0</v>
      </c>
      <c r="K391" s="30">
        <f t="shared" si="56"/>
        <v>0</v>
      </c>
      <c r="L391" s="30">
        <f t="shared" si="57"/>
        <v>0</v>
      </c>
      <c r="Q391" s="24">
        <v>5</v>
      </c>
    </row>
    <row r="392" spans="1:17">
      <c r="C392" s="163" t="s">
        <v>1049</v>
      </c>
      <c r="D392" s="162" t="s">
        <v>1310</v>
      </c>
      <c r="E392" s="162" t="s">
        <v>1138</v>
      </c>
      <c r="F392" s="31">
        <v>4800</v>
      </c>
      <c r="G392" s="66">
        <f>F392/60</f>
        <v>80</v>
      </c>
      <c r="H392" s="10" t="s">
        <v>91</v>
      </c>
      <c r="I392" s="9">
        <v>5</v>
      </c>
      <c r="J392" s="13">
        <f>G392/70</f>
        <v>1.1428571428571428</v>
      </c>
      <c r="K392" s="30">
        <f t="shared" si="56"/>
        <v>13.819312489203661</v>
      </c>
      <c r="L392" s="30">
        <f t="shared" si="57"/>
        <v>69.096562446018311</v>
      </c>
    </row>
    <row r="393" spans="1:17">
      <c r="E393" s="162" t="s">
        <v>1139</v>
      </c>
      <c r="F393" s="31">
        <v>1000</v>
      </c>
      <c r="G393" s="66">
        <f t="shared" ref="G393:G400" si="58">F393/60</f>
        <v>16.666666666666668</v>
      </c>
      <c r="H393" s="10" t="s">
        <v>23</v>
      </c>
      <c r="I393" s="10">
        <v>5</v>
      </c>
      <c r="J393" s="13">
        <f>G393/70</f>
        <v>0.23809523809523811</v>
      </c>
      <c r="K393" s="30">
        <f t="shared" si="56"/>
        <v>2.8790234352507631</v>
      </c>
      <c r="L393" s="30">
        <f t="shared" si="57"/>
        <v>14.395117176253816</v>
      </c>
    </row>
    <row r="394" spans="1:17">
      <c r="E394" s="162" t="s">
        <v>1140</v>
      </c>
      <c r="F394" s="31">
        <v>100</v>
      </c>
      <c r="G394" s="66">
        <f t="shared" si="58"/>
        <v>1.6666666666666667</v>
      </c>
      <c r="H394" s="10" t="s">
        <v>23</v>
      </c>
      <c r="I394" s="10">
        <v>5</v>
      </c>
      <c r="J394" s="13">
        <f>G394/70</f>
        <v>2.3809523809523812E-2</v>
      </c>
      <c r="K394" s="30">
        <f t="shared" si="56"/>
        <v>0.28790234352507632</v>
      </c>
      <c r="L394" s="30">
        <f t="shared" si="57"/>
        <v>1.4395117176253815</v>
      </c>
    </row>
    <row r="395" spans="1:17">
      <c r="C395" s="159"/>
      <c r="E395" s="162" t="s">
        <v>1277</v>
      </c>
      <c r="F395" s="31">
        <v>200</v>
      </c>
      <c r="G395" s="66">
        <f t="shared" si="58"/>
        <v>3.3333333333333335</v>
      </c>
      <c r="H395" s="10" t="s">
        <v>14</v>
      </c>
      <c r="I395" s="10">
        <v>5</v>
      </c>
      <c r="J395" s="13">
        <f>G395/40</f>
        <v>8.3333333333333343E-2</v>
      </c>
      <c r="K395" s="30">
        <f t="shared" si="56"/>
        <v>1.0076582023377672</v>
      </c>
      <c r="L395" s="30">
        <f t="shared" si="57"/>
        <v>5.0382910116888358</v>
      </c>
    </row>
    <row r="396" spans="1:17">
      <c r="E396" s="162" t="s">
        <v>1142</v>
      </c>
      <c r="F396" s="31">
        <v>200</v>
      </c>
      <c r="G396" s="66">
        <f t="shared" si="58"/>
        <v>3.3333333333333335</v>
      </c>
      <c r="H396" s="10" t="s">
        <v>23</v>
      </c>
      <c r="I396" s="10">
        <v>5</v>
      </c>
      <c r="J396" s="13">
        <f>G396/40</f>
        <v>8.3333333333333343E-2</v>
      </c>
      <c r="K396" s="30">
        <f t="shared" si="56"/>
        <v>1.0076582023377672</v>
      </c>
      <c r="L396" s="30">
        <f t="shared" si="57"/>
        <v>5.0382910116888358</v>
      </c>
    </row>
    <row r="397" spans="1:17">
      <c r="E397" s="162" t="s">
        <v>1143</v>
      </c>
      <c r="F397" s="31">
        <v>200</v>
      </c>
      <c r="G397" s="66">
        <f t="shared" si="58"/>
        <v>3.3333333333333335</v>
      </c>
      <c r="H397" s="10" t="s">
        <v>21</v>
      </c>
      <c r="I397" s="10">
        <v>4</v>
      </c>
      <c r="J397" s="13">
        <v>0.05</v>
      </c>
      <c r="K397" s="30">
        <f t="shared" si="56"/>
        <v>0.60459492140266025</v>
      </c>
      <c r="L397" s="30">
        <f t="shared" si="57"/>
        <v>2.418379685610641</v>
      </c>
    </row>
    <row r="398" spans="1:17">
      <c r="E398" s="162" t="s">
        <v>1116</v>
      </c>
      <c r="F398" s="31">
        <v>200</v>
      </c>
      <c r="G398" s="66">
        <f t="shared" si="58"/>
        <v>3.3333333333333335</v>
      </c>
      <c r="H398" s="10" t="s">
        <v>14</v>
      </c>
      <c r="I398" s="10">
        <v>5</v>
      </c>
      <c r="J398" s="13">
        <f>G398/40</f>
        <v>8.3333333333333343E-2</v>
      </c>
      <c r="K398" s="30">
        <f t="shared" si="56"/>
        <v>1.0076582023377672</v>
      </c>
      <c r="L398" s="30">
        <f t="shared" si="57"/>
        <v>5.0382910116888358</v>
      </c>
    </row>
    <row r="399" spans="1:17">
      <c r="E399" s="162" t="s">
        <v>1119</v>
      </c>
      <c r="F399" s="31">
        <v>80</v>
      </c>
      <c r="G399" s="66">
        <f t="shared" si="58"/>
        <v>1.3333333333333333</v>
      </c>
      <c r="H399" s="10" t="s">
        <v>16</v>
      </c>
      <c r="I399" s="10">
        <v>5</v>
      </c>
      <c r="J399" s="13">
        <f>G399/7</f>
        <v>0.19047619047619047</v>
      </c>
      <c r="K399" s="30">
        <f t="shared" si="56"/>
        <v>2.3032187482006106</v>
      </c>
      <c r="L399" s="30">
        <f t="shared" si="57"/>
        <v>11.516093741003052</v>
      </c>
    </row>
    <row r="400" spans="1:17">
      <c r="E400" s="162" t="s">
        <v>1211</v>
      </c>
      <c r="F400" s="31">
        <v>36</v>
      </c>
      <c r="G400" s="66">
        <f t="shared" si="58"/>
        <v>0.6</v>
      </c>
      <c r="H400" s="10" t="s">
        <v>23</v>
      </c>
      <c r="I400" s="10">
        <v>5</v>
      </c>
      <c r="J400" s="13">
        <f>G400/34</f>
        <v>1.7647058823529412E-2</v>
      </c>
      <c r="K400" s="30">
        <f t="shared" si="56"/>
        <v>0.21338644284799774</v>
      </c>
      <c r="L400" s="30">
        <f t="shared" si="57"/>
        <v>1.0669322142399886</v>
      </c>
    </row>
    <row r="401" spans="1:17">
      <c r="E401" s="162" t="s">
        <v>1145</v>
      </c>
      <c r="F401" s="31">
        <v>130</v>
      </c>
      <c r="G401" s="66">
        <f>F401/60</f>
        <v>2.1666666666666665</v>
      </c>
      <c r="H401" s="10" t="s">
        <v>23</v>
      </c>
      <c r="I401" s="10">
        <v>5</v>
      </c>
      <c r="J401" s="13">
        <v>0</v>
      </c>
      <c r="K401" s="30">
        <f t="shared" si="56"/>
        <v>0</v>
      </c>
      <c r="L401" s="30">
        <f t="shared" si="57"/>
        <v>0</v>
      </c>
    </row>
    <row r="402" spans="1:17">
      <c r="E402" s="164" t="s">
        <v>1133</v>
      </c>
      <c r="F402" s="31"/>
      <c r="G402" s="66">
        <v>0.7</v>
      </c>
      <c r="J402" s="18">
        <v>0</v>
      </c>
      <c r="K402" s="30">
        <f t="shared" si="56"/>
        <v>0</v>
      </c>
      <c r="L402" s="30">
        <f t="shared" si="57"/>
        <v>0</v>
      </c>
      <c r="P402" s="20">
        <v>0.7</v>
      </c>
    </row>
    <row r="403" spans="1:17">
      <c r="E403" s="162" t="s">
        <v>1146</v>
      </c>
      <c r="F403" s="31">
        <v>100</v>
      </c>
      <c r="G403" s="66">
        <f>F403/60</f>
        <v>1.6666666666666667</v>
      </c>
      <c r="J403" s="18">
        <v>0</v>
      </c>
      <c r="K403" s="30">
        <f t="shared" si="56"/>
        <v>0</v>
      </c>
      <c r="L403" s="30">
        <f t="shared" si="57"/>
        <v>0</v>
      </c>
      <c r="P403" s="20">
        <f>G403*22/100</f>
        <v>0.3666666666666667</v>
      </c>
    </row>
    <row r="404" spans="1:17">
      <c r="E404" s="162" t="s">
        <v>1147</v>
      </c>
      <c r="F404" s="31">
        <v>100</v>
      </c>
      <c r="G404" s="66">
        <f>F404/60</f>
        <v>1.6666666666666667</v>
      </c>
      <c r="J404" s="18">
        <v>0</v>
      </c>
      <c r="K404" s="30">
        <f t="shared" si="56"/>
        <v>0</v>
      </c>
      <c r="L404" s="30">
        <f t="shared" si="57"/>
        <v>0</v>
      </c>
      <c r="P404" s="20">
        <f>5*G404/100</f>
        <v>8.3333333333333343E-2</v>
      </c>
    </row>
    <row r="405" spans="1:17" ht="17.25" thickBot="1">
      <c r="A405" s="47"/>
      <c r="B405" s="37"/>
      <c r="C405" s="47"/>
      <c r="D405" s="37"/>
      <c r="E405" s="165"/>
      <c r="F405" s="37"/>
      <c r="G405" s="68"/>
      <c r="H405" s="37"/>
      <c r="I405" s="39"/>
      <c r="J405" s="26">
        <f>SUM(J384:J404)</f>
        <v>8.2700280112044808</v>
      </c>
      <c r="K405" s="38">
        <f>SUM(K384:K404)</f>
        <v>100.00033870863945</v>
      </c>
      <c r="L405" s="38">
        <f t="shared" ref="L405" si="59">K405*I405</f>
        <v>0</v>
      </c>
      <c r="M405" s="38">
        <f>SUM(L384:L404)</f>
        <v>303.33560268121761</v>
      </c>
      <c r="N405" s="37" t="s">
        <v>86</v>
      </c>
      <c r="O405" s="37" t="s">
        <v>87</v>
      </c>
      <c r="P405" s="48">
        <f>SUM(P384:P404)</f>
        <v>4.6900000000000004</v>
      </c>
      <c r="Q405" s="49"/>
    </row>
    <row r="407" spans="1:17">
      <c r="A407" s="29">
        <v>14</v>
      </c>
      <c r="B407" s="7" t="s">
        <v>133</v>
      </c>
      <c r="C407" s="161" t="s">
        <v>1114</v>
      </c>
      <c r="D407" s="53"/>
      <c r="E407" s="163" t="s">
        <v>1114</v>
      </c>
      <c r="G407" s="64">
        <v>210</v>
      </c>
      <c r="H407" s="10" t="s">
        <v>15</v>
      </c>
      <c r="I407" s="10">
        <v>2</v>
      </c>
      <c r="J407" s="13">
        <f>G407/70</f>
        <v>3</v>
      </c>
      <c r="K407" s="30">
        <f>J407/8.89*100</f>
        <v>33.745781777277841</v>
      </c>
      <c r="L407" s="30">
        <f>K407*I407</f>
        <v>67.491563554555682</v>
      </c>
    </row>
    <row r="408" spans="1:17">
      <c r="C408" s="163" t="s">
        <v>1078</v>
      </c>
      <c r="D408" s="53"/>
      <c r="E408" s="163" t="s">
        <v>1170</v>
      </c>
      <c r="G408" s="64">
        <v>60</v>
      </c>
      <c r="H408" s="10" t="s">
        <v>130</v>
      </c>
      <c r="I408" s="9">
        <v>1</v>
      </c>
      <c r="J408" s="13">
        <f>G408/40</f>
        <v>1.5</v>
      </c>
      <c r="K408" s="30">
        <f t="shared" ref="K408:K431" si="60">J408/8.89*100</f>
        <v>16.872890888638921</v>
      </c>
      <c r="L408" s="30">
        <f t="shared" ref="L408:L431" si="61">K408*I408</f>
        <v>16.872890888638921</v>
      </c>
    </row>
    <row r="409" spans="1:17">
      <c r="D409" s="53"/>
      <c r="E409" s="163" t="s">
        <v>1201</v>
      </c>
      <c r="G409" s="64">
        <v>30</v>
      </c>
      <c r="H409" s="10" t="s">
        <v>23</v>
      </c>
      <c r="I409" s="9">
        <v>5</v>
      </c>
      <c r="J409" s="13">
        <f>G409/70</f>
        <v>0.42857142857142855</v>
      </c>
      <c r="K409" s="30">
        <f t="shared" si="60"/>
        <v>4.8208259681825485</v>
      </c>
      <c r="L409" s="30">
        <f t="shared" si="61"/>
        <v>24.104129840912741</v>
      </c>
    </row>
    <row r="410" spans="1:17">
      <c r="D410" s="53"/>
      <c r="E410" s="163" t="s">
        <v>1166</v>
      </c>
      <c r="G410" s="64">
        <v>20</v>
      </c>
      <c r="H410" s="10" t="s">
        <v>131</v>
      </c>
      <c r="I410" s="9">
        <v>5</v>
      </c>
      <c r="J410" s="13">
        <f>G410/70</f>
        <v>0.2857142857142857</v>
      </c>
      <c r="K410" s="30">
        <f t="shared" si="60"/>
        <v>3.2138839787883655</v>
      </c>
      <c r="L410" s="30">
        <f t="shared" si="61"/>
        <v>16.069419893941827</v>
      </c>
    </row>
    <row r="411" spans="1:17">
      <c r="D411" s="53"/>
      <c r="E411" s="163" t="s">
        <v>1125</v>
      </c>
      <c r="G411" s="64">
        <v>20</v>
      </c>
      <c r="H411" s="10" t="s">
        <v>14</v>
      </c>
      <c r="I411" s="9">
        <v>5</v>
      </c>
      <c r="J411" s="13">
        <f>G411/70</f>
        <v>0.2857142857142857</v>
      </c>
      <c r="K411" s="30">
        <f t="shared" si="60"/>
        <v>3.2138839787883655</v>
      </c>
      <c r="L411" s="30">
        <f t="shared" si="61"/>
        <v>16.069419893941827</v>
      </c>
    </row>
    <row r="412" spans="1:17">
      <c r="D412" s="53"/>
      <c r="E412" s="163" t="s">
        <v>418</v>
      </c>
      <c r="G412" s="64">
        <v>20</v>
      </c>
      <c r="H412" s="10" t="s">
        <v>30</v>
      </c>
      <c r="I412" s="9">
        <v>2</v>
      </c>
      <c r="J412" s="13">
        <f>G412/55</f>
        <v>0.36363636363636365</v>
      </c>
      <c r="K412" s="30">
        <f t="shared" si="60"/>
        <v>4.0903977911851932</v>
      </c>
      <c r="L412" s="30">
        <f t="shared" si="61"/>
        <v>8.1807955823703864</v>
      </c>
    </row>
    <row r="413" spans="1:17">
      <c r="C413" s="159"/>
      <c r="D413" s="53"/>
      <c r="E413" s="163" t="s">
        <v>1202</v>
      </c>
      <c r="G413" s="64">
        <v>15</v>
      </c>
      <c r="H413" s="10" t="s">
        <v>131</v>
      </c>
      <c r="I413" s="9">
        <v>5</v>
      </c>
      <c r="J413" s="13">
        <f>G413/33</f>
        <v>0.45454545454545453</v>
      </c>
      <c r="K413" s="30">
        <f t="shared" si="60"/>
        <v>5.1129972389814906</v>
      </c>
      <c r="L413" s="30">
        <f t="shared" si="61"/>
        <v>25.564986194907455</v>
      </c>
    </row>
    <row r="414" spans="1:17">
      <c r="D414" s="53"/>
      <c r="E414" s="163" t="s">
        <v>1139</v>
      </c>
      <c r="G414" s="64">
        <v>15</v>
      </c>
      <c r="H414" s="10" t="s">
        <v>131</v>
      </c>
      <c r="I414" s="9">
        <v>5</v>
      </c>
      <c r="J414" s="13">
        <f>G414/70</f>
        <v>0.21428571428571427</v>
      </c>
      <c r="K414" s="30">
        <f t="shared" si="60"/>
        <v>2.4104129840912742</v>
      </c>
      <c r="L414" s="30">
        <f t="shared" si="61"/>
        <v>12.05206492045637</v>
      </c>
    </row>
    <row r="415" spans="1:17">
      <c r="D415" s="53"/>
      <c r="E415" s="168" t="s">
        <v>1203</v>
      </c>
      <c r="F415" s="52"/>
      <c r="G415" s="69">
        <v>15</v>
      </c>
      <c r="H415" s="10" t="s">
        <v>131</v>
      </c>
      <c r="I415" s="9">
        <v>5</v>
      </c>
      <c r="J415" s="13">
        <f>G415/70</f>
        <v>0.21428571428571427</v>
      </c>
      <c r="K415" s="30">
        <f t="shared" si="60"/>
        <v>2.4104129840912742</v>
      </c>
      <c r="L415" s="30">
        <f t="shared" si="61"/>
        <v>12.05206492045637</v>
      </c>
    </row>
    <row r="416" spans="1:17">
      <c r="D416" s="53"/>
      <c r="E416" s="163" t="s">
        <v>1204</v>
      </c>
      <c r="G416" s="64">
        <v>10</v>
      </c>
      <c r="H416" s="10" t="s">
        <v>14</v>
      </c>
      <c r="I416" s="9">
        <v>5</v>
      </c>
      <c r="J416" s="13">
        <f t="shared" ref="J416" si="62">G416/40</f>
        <v>0.25</v>
      </c>
      <c r="K416" s="30">
        <f t="shared" si="60"/>
        <v>2.8121484814398197</v>
      </c>
      <c r="L416" s="30">
        <f t="shared" si="61"/>
        <v>14.060742407199099</v>
      </c>
    </row>
    <row r="417" spans="1:17">
      <c r="D417" s="53"/>
      <c r="E417" s="163" t="s">
        <v>1205</v>
      </c>
      <c r="G417" s="64">
        <v>6</v>
      </c>
      <c r="J417" s="13">
        <v>0</v>
      </c>
      <c r="K417" s="30">
        <f t="shared" si="60"/>
        <v>0</v>
      </c>
      <c r="L417" s="30">
        <f t="shared" si="61"/>
        <v>0</v>
      </c>
      <c r="Q417" s="21">
        <v>6</v>
      </c>
    </row>
    <row r="418" spans="1:17">
      <c r="A418" s="52"/>
      <c r="B418" s="52"/>
      <c r="C418" s="52"/>
      <c r="D418" s="57"/>
      <c r="E418" s="168" t="s">
        <v>1123</v>
      </c>
      <c r="F418" s="52"/>
      <c r="G418" s="70">
        <v>5</v>
      </c>
      <c r="H418" s="10" t="s">
        <v>131</v>
      </c>
      <c r="I418" s="9">
        <v>5</v>
      </c>
      <c r="J418" s="13">
        <f>G418/70</f>
        <v>7.1428571428571425E-2</v>
      </c>
      <c r="K418" s="30">
        <f t="shared" si="60"/>
        <v>0.80347099469709138</v>
      </c>
      <c r="L418" s="30">
        <f t="shared" si="61"/>
        <v>4.0173549734854568</v>
      </c>
      <c r="M418" s="58"/>
      <c r="N418" s="52"/>
      <c r="O418" s="52"/>
      <c r="P418" s="59"/>
      <c r="Q418" s="60"/>
    </row>
    <row r="419" spans="1:17">
      <c r="D419" s="53"/>
      <c r="E419" s="163" t="s">
        <v>1206</v>
      </c>
      <c r="G419" s="64">
        <v>5</v>
      </c>
      <c r="H419" s="10"/>
      <c r="I419" s="9"/>
      <c r="J419" s="13">
        <v>0</v>
      </c>
      <c r="K419" s="30">
        <f t="shared" si="60"/>
        <v>0</v>
      </c>
      <c r="L419" s="30">
        <f t="shared" si="61"/>
        <v>0</v>
      </c>
    </row>
    <row r="420" spans="1:17">
      <c r="D420" s="53"/>
      <c r="E420" s="163" t="s">
        <v>1207</v>
      </c>
      <c r="G420" s="64">
        <v>4</v>
      </c>
      <c r="H420" s="10" t="s">
        <v>131</v>
      </c>
      <c r="I420" s="9">
        <v>5</v>
      </c>
      <c r="J420" s="13">
        <f>G420/70</f>
        <v>5.7142857142857141E-2</v>
      </c>
      <c r="K420" s="30">
        <f t="shared" si="60"/>
        <v>0.6427767957576731</v>
      </c>
      <c r="L420" s="30">
        <f t="shared" si="61"/>
        <v>3.2138839787883655</v>
      </c>
    </row>
    <row r="421" spans="1:17">
      <c r="D421" s="53"/>
      <c r="E421" s="163" t="s">
        <v>1119</v>
      </c>
      <c r="G421" s="64">
        <v>2</v>
      </c>
      <c r="H421" s="10" t="s">
        <v>16</v>
      </c>
      <c r="I421" s="9">
        <v>5</v>
      </c>
      <c r="J421" s="13">
        <f>G421/7</f>
        <v>0.2857142857142857</v>
      </c>
      <c r="K421" s="30">
        <f t="shared" si="60"/>
        <v>3.2138839787883655</v>
      </c>
      <c r="L421" s="30">
        <f t="shared" si="61"/>
        <v>16.069419893941827</v>
      </c>
    </row>
    <row r="422" spans="1:17">
      <c r="D422" s="53"/>
      <c r="E422" s="168" t="s">
        <v>1133</v>
      </c>
      <c r="F422" s="52"/>
      <c r="G422" s="69">
        <v>1</v>
      </c>
      <c r="J422" s="13">
        <v>0</v>
      </c>
      <c r="K422" s="30">
        <f t="shared" si="60"/>
        <v>0</v>
      </c>
      <c r="L422" s="30">
        <f t="shared" si="61"/>
        <v>0</v>
      </c>
      <c r="P422" s="20">
        <v>1</v>
      </c>
    </row>
    <row r="423" spans="1:17">
      <c r="C423" s="166" t="s">
        <v>1068</v>
      </c>
      <c r="D423" s="162" t="s">
        <v>1310</v>
      </c>
      <c r="E423" s="163" t="s">
        <v>1139</v>
      </c>
      <c r="F423" s="29">
        <v>1500</v>
      </c>
      <c r="G423" s="64">
        <f>F423/20</f>
        <v>75</v>
      </c>
      <c r="H423" s="10" t="s">
        <v>23</v>
      </c>
      <c r="I423" s="10">
        <v>5</v>
      </c>
      <c r="J423" s="18">
        <f>G423/70</f>
        <v>1.0714285714285714</v>
      </c>
      <c r="K423" s="30">
        <f t="shared" si="60"/>
        <v>12.05206492045637</v>
      </c>
      <c r="L423" s="30">
        <f t="shared" si="61"/>
        <v>60.260324602281855</v>
      </c>
    </row>
    <row r="424" spans="1:17">
      <c r="D424" s="53"/>
      <c r="E424" s="163" t="s">
        <v>1133</v>
      </c>
      <c r="F424" s="29">
        <v>24</v>
      </c>
      <c r="G424" s="64">
        <f t="shared" ref="G424:G431" si="63">F424/20</f>
        <v>1.2</v>
      </c>
      <c r="J424" s="18">
        <v>0</v>
      </c>
      <c r="K424" s="30">
        <f t="shared" si="60"/>
        <v>0</v>
      </c>
      <c r="L424" s="30">
        <f t="shared" si="61"/>
        <v>0</v>
      </c>
      <c r="P424" s="20">
        <v>1.2</v>
      </c>
    </row>
    <row r="425" spans="1:17">
      <c r="D425" s="53"/>
      <c r="E425" s="163" t="s">
        <v>1152</v>
      </c>
      <c r="F425" s="29">
        <v>6</v>
      </c>
      <c r="G425" s="64">
        <f t="shared" si="63"/>
        <v>0.3</v>
      </c>
      <c r="J425" s="18">
        <v>0</v>
      </c>
      <c r="K425" s="30">
        <f t="shared" si="60"/>
        <v>0</v>
      </c>
      <c r="L425" s="30">
        <f t="shared" si="61"/>
        <v>0</v>
      </c>
    </row>
    <row r="426" spans="1:17">
      <c r="D426" s="53"/>
      <c r="E426" s="163" t="s">
        <v>1145</v>
      </c>
      <c r="F426" s="29">
        <v>42</v>
      </c>
      <c r="G426" s="64">
        <f t="shared" si="63"/>
        <v>2.1</v>
      </c>
      <c r="H426" s="10" t="s">
        <v>23</v>
      </c>
      <c r="I426" s="10">
        <v>5</v>
      </c>
      <c r="J426" s="18">
        <f>G426/70</f>
        <v>3.0000000000000002E-2</v>
      </c>
      <c r="K426" s="30">
        <f t="shared" si="60"/>
        <v>0.33745781777277839</v>
      </c>
      <c r="L426" s="30">
        <f t="shared" si="61"/>
        <v>1.6872890888638921</v>
      </c>
    </row>
    <row r="427" spans="1:17">
      <c r="D427" s="53"/>
      <c r="E427" s="163" t="s">
        <v>1147</v>
      </c>
      <c r="F427" s="29">
        <v>60</v>
      </c>
      <c r="G427" s="64">
        <f t="shared" si="63"/>
        <v>3</v>
      </c>
      <c r="J427" s="18">
        <v>0</v>
      </c>
      <c r="K427" s="30">
        <f t="shared" si="60"/>
        <v>0</v>
      </c>
      <c r="L427" s="30">
        <f t="shared" si="61"/>
        <v>0</v>
      </c>
      <c r="P427" s="20">
        <f>G427*5/100</f>
        <v>0.15</v>
      </c>
    </row>
    <row r="428" spans="1:17">
      <c r="D428" s="53"/>
      <c r="E428" s="163" t="s">
        <v>1119</v>
      </c>
      <c r="F428" s="29">
        <v>24</v>
      </c>
      <c r="G428" s="64">
        <f t="shared" si="63"/>
        <v>1.2</v>
      </c>
      <c r="H428" s="10" t="s">
        <v>16</v>
      </c>
      <c r="I428" s="10">
        <v>5</v>
      </c>
      <c r="J428" s="18">
        <f>G428/7</f>
        <v>0.17142857142857143</v>
      </c>
      <c r="K428" s="30">
        <f t="shared" si="60"/>
        <v>1.9283303872730191</v>
      </c>
      <c r="L428" s="30">
        <f t="shared" si="61"/>
        <v>9.6416519363650952</v>
      </c>
    </row>
    <row r="429" spans="1:17">
      <c r="D429" s="53"/>
      <c r="E429" s="163" t="s">
        <v>1144</v>
      </c>
      <c r="F429" s="29">
        <v>8</v>
      </c>
      <c r="G429" s="64">
        <f t="shared" si="63"/>
        <v>0.4</v>
      </c>
      <c r="H429" s="10" t="s">
        <v>23</v>
      </c>
      <c r="I429" s="10">
        <v>5</v>
      </c>
      <c r="J429" s="18">
        <f>G429/34</f>
        <v>1.1764705882352941E-2</v>
      </c>
      <c r="K429" s="30">
        <f t="shared" si="60"/>
        <v>0.13233639912657974</v>
      </c>
      <c r="L429" s="30">
        <f t="shared" si="61"/>
        <v>0.66168199563289876</v>
      </c>
    </row>
    <row r="430" spans="1:17">
      <c r="D430" s="53"/>
      <c r="E430" s="163" t="s">
        <v>1157</v>
      </c>
      <c r="F430" s="29">
        <v>100</v>
      </c>
      <c r="G430" s="64">
        <f t="shared" si="63"/>
        <v>5</v>
      </c>
      <c r="H430" s="10" t="s">
        <v>14</v>
      </c>
      <c r="I430" s="10">
        <v>5</v>
      </c>
      <c r="J430" s="18">
        <f>G430/40</f>
        <v>0.125</v>
      </c>
      <c r="K430" s="30">
        <f t="shared" si="60"/>
        <v>1.4060742407199098</v>
      </c>
      <c r="L430" s="30">
        <f t="shared" si="61"/>
        <v>7.0303712035995494</v>
      </c>
    </row>
    <row r="431" spans="1:17">
      <c r="D431" s="53"/>
      <c r="E431" s="163" t="s">
        <v>1140</v>
      </c>
      <c r="F431" s="29">
        <v>100</v>
      </c>
      <c r="G431" s="64">
        <f t="shared" si="63"/>
        <v>5</v>
      </c>
      <c r="H431" s="10" t="s">
        <v>23</v>
      </c>
      <c r="I431" s="10">
        <v>5</v>
      </c>
      <c r="J431" s="18">
        <f>G431/70</f>
        <v>7.1428571428571425E-2</v>
      </c>
      <c r="K431" s="30">
        <f t="shared" si="60"/>
        <v>0.80347099469709138</v>
      </c>
      <c r="L431" s="30">
        <f t="shared" si="61"/>
        <v>4.0173549734854568</v>
      </c>
    </row>
    <row r="432" spans="1:17" ht="17.25" thickBot="1">
      <c r="A432" s="37"/>
      <c r="B432" s="37"/>
      <c r="C432" s="37"/>
      <c r="D432" s="40"/>
      <c r="E432" s="165"/>
      <c r="F432" s="37"/>
      <c r="G432" s="68"/>
      <c r="H432" s="37"/>
      <c r="I432" s="39"/>
      <c r="J432" s="26">
        <f>SUM(J407:J431)</f>
        <v>8.8920893812070254</v>
      </c>
      <c r="K432" s="38">
        <f>SUM(K407:K431)</f>
        <v>100.02350260075399</v>
      </c>
      <c r="L432" s="38"/>
      <c r="M432" s="38">
        <f>SUM(L407:L431)</f>
        <v>319.11741074382508</v>
      </c>
      <c r="N432" s="37" t="s">
        <v>36</v>
      </c>
      <c r="O432" s="37" t="s">
        <v>132</v>
      </c>
      <c r="P432" s="27">
        <f>SUM(P407:P431)</f>
        <v>2.35</v>
      </c>
      <c r="Q432" s="28"/>
    </row>
    <row r="433" spans="1:17">
      <c r="D433" s="53"/>
    </row>
    <row r="434" spans="1:17">
      <c r="A434" s="29">
        <v>15</v>
      </c>
      <c r="B434" s="7" t="s">
        <v>134</v>
      </c>
      <c r="C434" s="163" t="s">
        <v>1079</v>
      </c>
      <c r="D434" s="53"/>
      <c r="E434" s="163" t="s">
        <v>1114</v>
      </c>
      <c r="G434" s="64">
        <v>90</v>
      </c>
      <c r="H434" s="10" t="s">
        <v>15</v>
      </c>
      <c r="I434" s="10">
        <v>2</v>
      </c>
      <c r="J434" s="13">
        <f>G434/30</f>
        <v>3</v>
      </c>
      <c r="K434" s="30">
        <f>J434/4.58*100</f>
        <v>65.502183406113531</v>
      </c>
      <c r="L434" s="30">
        <f>K434*I434</f>
        <v>131.00436681222706</v>
      </c>
    </row>
    <row r="435" spans="1:17">
      <c r="D435" s="53"/>
      <c r="E435" s="163" t="s">
        <v>1208</v>
      </c>
      <c r="G435" s="64">
        <v>45</v>
      </c>
      <c r="H435" s="10" t="s">
        <v>21</v>
      </c>
      <c r="I435" s="9">
        <v>4</v>
      </c>
      <c r="J435" s="13">
        <f>G435/70</f>
        <v>0.6428571428571429</v>
      </c>
      <c r="K435" s="30">
        <f t="shared" ref="K435:K445" si="64">J435/4.58*100</f>
        <v>14.036182158452901</v>
      </c>
      <c r="L435" s="30">
        <f t="shared" ref="L435:L445" si="65">K435*I435</f>
        <v>56.144728633811603</v>
      </c>
    </row>
    <row r="436" spans="1:17">
      <c r="D436" s="53"/>
      <c r="E436" s="163" t="s">
        <v>1132</v>
      </c>
      <c r="G436" s="64">
        <v>9</v>
      </c>
      <c r="H436" s="10"/>
      <c r="I436" s="9"/>
      <c r="J436" s="13">
        <v>0</v>
      </c>
      <c r="K436" s="30">
        <f t="shared" si="64"/>
        <v>0</v>
      </c>
      <c r="L436" s="30">
        <f t="shared" si="65"/>
        <v>0</v>
      </c>
      <c r="Q436" s="21">
        <v>5</v>
      </c>
    </row>
    <row r="437" spans="1:17">
      <c r="D437" s="53"/>
      <c r="E437" s="163" t="s">
        <v>1137</v>
      </c>
      <c r="G437" s="64">
        <v>3.6</v>
      </c>
      <c r="H437" s="10" t="s">
        <v>135</v>
      </c>
      <c r="I437" s="9">
        <v>2</v>
      </c>
      <c r="J437" s="13">
        <f>G437/8</f>
        <v>0.45</v>
      </c>
      <c r="K437" s="30">
        <f t="shared" si="64"/>
        <v>9.825327510917031</v>
      </c>
      <c r="L437" s="30">
        <f t="shared" si="65"/>
        <v>19.650655021834062</v>
      </c>
    </row>
    <row r="438" spans="1:17">
      <c r="D438" s="53"/>
      <c r="E438" s="163" t="s">
        <v>1133</v>
      </c>
      <c r="G438" s="64">
        <v>1.8</v>
      </c>
      <c r="H438" s="10"/>
      <c r="I438" s="9"/>
      <c r="J438" s="13">
        <v>0</v>
      </c>
      <c r="K438" s="30">
        <f t="shared" si="64"/>
        <v>0</v>
      </c>
      <c r="L438" s="30">
        <f t="shared" si="65"/>
        <v>0</v>
      </c>
      <c r="P438" s="20">
        <v>1.8</v>
      </c>
    </row>
    <row r="439" spans="1:17">
      <c r="C439" s="166" t="s">
        <v>1068</v>
      </c>
      <c r="D439" s="162" t="s">
        <v>1310</v>
      </c>
      <c r="E439" s="163" t="s">
        <v>1139</v>
      </c>
      <c r="F439" s="29">
        <v>200</v>
      </c>
      <c r="G439" s="64">
        <f>F439/16</f>
        <v>12.5</v>
      </c>
      <c r="H439" s="10" t="s">
        <v>23</v>
      </c>
      <c r="I439" s="10">
        <v>5</v>
      </c>
      <c r="J439" s="18">
        <f>G439/70</f>
        <v>0.17857142857142858</v>
      </c>
      <c r="K439" s="30">
        <f t="shared" si="64"/>
        <v>3.8989394884591388</v>
      </c>
      <c r="L439" s="30">
        <f t="shared" si="65"/>
        <v>19.494697442295696</v>
      </c>
    </row>
    <row r="440" spans="1:17">
      <c r="D440" s="53"/>
      <c r="E440" s="163" t="s">
        <v>1138</v>
      </c>
      <c r="F440" s="29">
        <v>200</v>
      </c>
      <c r="G440" s="64">
        <f t="shared" ref="G440:G445" si="66">F440/16</f>
        <v>12.5</v>
      </c>
      <c r="H440" s="10" t="s">
        <v>136</v>
      </c>
      <c r="I440" s="9">
        <v>5</v>
      </c>
      <c r="J440" s="18">
        <f>G440/70</f>
        <v>0.17857142857142858</v>
      </c>
      <c r="K440" s="30">
        <f t="shared" si="64"/>
        <v>3.8989394884591388</v>
      </c>
      <c r="L440" s="30">
        <f t="shared" si="65"/>
        <v>19.494697442295696</v>
      </c>
    </row>
    <row r="441" spans="1:17">
      <c r="D441" s="53"/>
      <c r="E441" s="163" t="s">
        <v>1133</v>
      </c>
      <c r="F441" s="29">
        <v>28</v>
      </c>
      <c r="G441" s="64">
        <f t="shared" si="66"/>
        <v>1.75</v>
      </c>
      <c r="J441" s="18">
        <v>0</v>
      </c>
      <c r="K441" s="30">
        <f t="shared" si="64"/>
        <v>0</v>
      </c>
      <c r="L441" s="30">
        <f t="shared" si="65"/>
        <v>0</v>
      </c>
      <c r="P441" s="20">
        <v>1.8</v>
      </c>
    </row>
    <row r="442" spans="1:17">
      <c r="C442" s="159"/>
      <c r="D442" s="53"/>
      <c r="E442" s="163" t="s">
        <v>1277</v>
      </c>
      <c r="F442" s="29">
        <v>20</v>
      </c>
      <c r="G442" s="64">
        <f t="shared" si="66"/>
        <v>1.25</v>
      </c>
      <c r="H442" s="10" t="s">
        <v>14</v>
      </c>
      <c r="I442" s="9">
        <v>5</v>
      </c>
      <c r="J442" s="18">
        <f>G442/40</f>
        <v>3.125E-2</v>
      </c>
      <c r="K442" s="30">
        <f t="shared" si="64"/>
        <v>0.68231441048034935</v>
      </c>
      <c r="L442" s="30">
        <f t="shared" si="65"/>
        <v>3.4115720524017465</v>
      </c>
    </row>
    <row r="443" spans="1:17">
      <c r="D443" s="53"/>
      <c r="E443" s="163" t="s">
        <v>1124</v>
      </c>
      <c r="F443" s="29">
        <v>30</v>
      </c>
      <c r="G443" s="64">
        <f t="shared" si="66"/>
        <v>1.875</v>
      </c>
      <c r="H443" s="10" t="s">
        <v>23</v>
      </c>
      <c r="I443" s="10">
        <v>5</v>
      </c>
      <c r="J443" s="18">
        <f>G443/70</f>
        <v>2.6785714285714284E-2</v>
      </c>
      <c r="K443" s="30">
        <f t="shared" si="64"/>
        <v>0.58484092326887083</v>
      </c>
      <c r="L443" s="30">
        <f t="shared" si="65"/>
        <v>2.9242046163443542</v>
      </c>
    </row>
    <row r="444" spans="1:17">
      <c r="D444" s="53"/>
      <c r="E444" s="163" t="s">
        <v>1140</v>
      </c>
      <c r="F444" s="29">
        <v>50</v>
      </c>
      <c r="G444" s="64">
        <f t="shared" si="66"/>
        <v>3.125</v>
      </c>
      <c r="H444" s="10" t="s">
        <v>23</v>
      </c>
      <c r="I444" s="10">
        <v>5</v>
      </c>
      <c r="J444" s="18">
        <f>G444/70</f>
        <v>4.4642857142857144E-2</v>
      </c>
      <c r="K444" s="30">
        <f t="shared" si="64"/>
        <v>0.97473487211478471</v>
      </c>
      <c r="L444" s="30">
        <f t="shared" si="65"/>
        <v>4.8736743605739239</v>
      </c>
    </row>
    <row r="445" spans="1:17">
      <c r="D445" s="53"/>
      <c r="E445" s="163" t="s">
        <v>1195</v>
      </c>
      <c r="F445" s="29">
        <v>3.5</v>
      </c>
      <c r="G445" s="64">
        <f t="shared" si="66"/>
        <v>0.21875</v>
      </c>
      <c r="H445" s="10" t="s">
        <v>135</v>
      </c>
      <c r="I445" s="9">
        <v>2</v>
      </c>
      <c r="J445" s="18">
        <f>G445/8</f>
        <v>2.734375E-2</v>
      </c>
      <c r="K445" s="30">
        <f t="shared" si="64"/>
        <v>0.59702510917030571</v>
      </c>
      <c r="L445" s="30">
        <f t="shared" si="65"/>
        <v>1.1940502183406114</v>
      </c>
    </row>
    <row r="446" spans="1:17" ht="17.25" thickBot="1">
      <c r="A446" s="37"/>
      <c r="B446" s="37"/>
      <c r="C446" s="37"/>
      <c r="D446" s="40"/>
      <c r="E446" s="165"/>
      <c r="F446" s="37"/>
      <c r="G446" s="68"/>
      <c r="H446" s="37"/>
      <c r="I446" s="39"/>
      <c r="J446" s="26">
        <f>SUM(J434:J445)</f>
        <v>4.5800223214285714</v>
      </c>
      <c r="K446" s="38">
        <f>SUM(K434:K445)</f>
        <v>100.00048736743604</v>
      </c>
      <c r="L446" s="38"/>
      <c r="M446" s="38">
        <f>SUM(L434:L445)</f>
        <v>258.19264660012476</v>
      </c>
      <c r="N446" s="37" t="s">
        <v>36</v>
      </c>
      <c r="O446" s="37" t="s">
        <v>132</v>
      </c>
      <c r="P446" s="27">
        <f>SUM(P434:P445)</f>
        <v>3.6</v>
      </c>
      <c r="Q446" s="28"/>
    </row>
    <row r="448" spans="1:17">
      <c r="A448" s="7">
        <v>16</v>
      </c>
      <c r="B448" s="7" t="s">
        <v>62</v>
      </c>
      <c r="C448" s="161" t="s">
        <v>1210</v>
      </c>
      <c r="E448" s="163" t="s">
        <v>1114</v>
      </c>
      <c r="G448" s="64">
        <v>60</v>
      </c>
      <c r="H448" s="10" t="s">
        <v>24</v>
      </c>
      <c r="I448" s="10">
        <v>2</v>
      </c>
      <c r="J448" s="13">
        <f>G448/30</f>
        <v>2</v>
      </c>
      <c r="K448" s="30">
        <f>J448/9.84*100</f>
        <v>20.325203252032519</v>
      </c>
      <c r="L448" s="30">
        <f t="shared" ref="L448:L470" si="67">K448*I448</f>
        <v>40.650406504065039</v>
      </c>
    </row>
    <row r="449" spans="3:17">
      <c r="C449" s="161" t="s">
        <v>1080</v>
      </c>
      <c r="E449" s="161" t="s">
        <v>1055</v>
      </c>
      <c r="G449" s="64">
        <v>150</v>
      </c>
      <c r="H449" s="10" t="s">
        <v>17</v>
      </c>
      <c r="I449" s="10">
        <v>1</v>
      </c>
      <c r="J449" s="18">
        <f>G449/40</f>
        <v>3.75</v>
      </c>
      <c r="K449" s="30">
        <f t="shared" ref="K449:K470" si="68">J449/9.84*100</f>
        <v>38.109756097560975</v>
      </c>
      <c r="L449" s="30">
        <f t="shared" si="67"/>
        <v>38.109756097560975</v>
      </c>
    </row>
    <row r="450" spans="3:17">
      <c r="C450" s="161" t="s">
        <v>1056</v>
      </c>
      <c r="E450" s="161" t="s">
        <v>1056</v>
      </c>
      <c r="G450" s="64">
        <v>35</v>
      </c>
      <c r="H450" s="10" t="s">
        <v>63</v>
      </c>
      <c r="I450" s="10">
        <v>5</v>
      </c>
      <c r="J450" s="18">
        <v>0.5</v>
      </c>
      <c r="K450" s="30">
        <f t="shared" si="68"/>
        <v>5.0813008130081299</v>
      </c>
      <c r="L450" s="30">
        <f t="shared" si="67"/>
        <v>25.40650406504065</v>
      </c>
    </row>
    <row r="451" spans="3:17">
      <c r="C451" s="161" t="s">
        <v>1057</v>
      </c>
      <c r="E451" s="161" t="s">
        <v>1120</v>
      </c>
      <c r="G451" s="64">
        <v>7</v>
      </c>
      <c r="H451" s="10" t="s">
        <v>16</v>
      </c>
      <c r="I451" s="10">
        <v>5</v>
      </c>
      <c r="J451" s="18">
        <v>1</v>
      </c>
      <c r="K451" s="30">
        <f t="shared" si="68"/>
        <v>10.16260162601626</v>
      </c>
      <c r="L451" s="30">
        <f t="shared" si="67"/>
        <v>50.8130081300813</v>
      </c>
    </row>
    <row r="452" spans="3:17">
      <c r="C452" s="161" t="s">
        <v>1058</v>
      </c>
      <c r="E452" s="161" t="s">
        <v>1058</v>
      </c>
      <c r="G452" s="64">
        <v>10</v>
      </c>
      <c r="H452" s="10" t="s">
        <v>48</v>
      </c>
      <c r="I452" s="10">
        <v>5</v>
      </c>
      <c r="J452" s="18">
        <v>0.25</v>
      </c>
      <c r="K452" s="30">
        <f t="shared" si="68"/>
        <v>2.5406504065040649</v>
      </c>
      <c r="L452" s="30">
        <f t="shared" si="67"/>
        <v>12.703252032520325</v>
      </c>
    </row>
    <row r="453" spans="3:17">
      <c r="C453" s="161" t="s">
        <v>1123</v>
      </c>
      <c r="E453" s="161" t="s">
        <v>1123</v>
      </c>
      <c r="G453" s="64">
        <v>10</v>
      </c>
      <c r="H453" s="10" t="s">
        <v>48</v>
      </c>
      <c r="I453" s="10">
        <v>5</v>
      </c>
      <c r="J453" s="18">
        <f>G453/70</f>
        <v>0.14285714285714285</v>
      </c>
      <c r="K453" s="30">
        <f t="shared" si="68"/>
        <v>1.451800232288037</v>
      </c>
      <c r="L453" s="30">
        <f t="shared" si="67"/>
        <v>7.2590011614401853</v>
      </c>
    </row>
    <row r="454" spans="3:17">
      <c r="C454" s="161" t="s">
        <v>1060</v>
      </c>
      <c r="E454" s="161" t="s">
        <v>1127</v>
      </c>
      <c r="G454" s="64">
        <v>6</v>
      </c>
      <c r="H454" s="10" t="s">
        <v>20</v>
      </c>
      <c r="I454" s="10">
        <v>4</v>
      </c>
      <c r="J454" s="18">
        <v>0</v>
      </c>
      <c r="K454" s="30">
        <f t="shared" si="68"/>
        <v>0</v>
      </c>
      <c r="L454" s="30">
        <f t="shared" si="67"/>
        <v>0</v>
      </c>
      <c r="P454" s="41">
        <f>G454*11/100</f>
        <v>0.66</v>
      </c>
    </row>
    <row r="455" spans="3:17">
      <c r="C455" s="7"/>
      <c r="E455" s="161" t="s">
        <v>1160</v>
      </c>
      <c r="G455" s="64">
        <v>4</v>
      </c>
      <c r="J455" s="18">
        <v>0</v>
      </c>
      <c r="K455" s="30">
        <f t="shared" si="68"/>
        <v>0</v>
      </c>
      <c r="L455" s="30">
        <f t="shared" si="67"/>
        <v>0</v>
      </c>
      <c r="P455" s="20">
        <f>G455*7/100</f>
        <v>0.28000000000000003</v>
      </c>
    </row>
    <row r="456" spans="3:17">
      <c r="C456" s="7"/>
      <c r="E456" s="161" t="s">
        <v>1119</v>
      </c>
      <c r="G456" s="64">
        <v>2</v>
      </c>
      <c r="H456" s="10" t="s">
        <v>16</v>
      </c>
      <c r="I456" s="10">
        <v>5</v>
      </c>
      <c r="J456" s="13">
        <f>G456/7</f>
        <v>0.2857142857142857</v>
      </c>
      <c r="K456" s="30">
        <f t="shared" si="68"/>
        <v>2.903600464576074</v>
      </c>
      <c r="L456" s="30">
        <f t="shared" si="67"/>
        <v>14.518002322880371</v>
      </c>
    </row>
    <row r="457" spans="3:17">
      <c r="C457" s="7"/>
      <c r="E457" s="161" t="s">
        <v>1132</v>
      </c>
      <c r="G457" s="64">
        <v>2.5</v>
      </c>
      <c r="J457" s="18">
        <v>0</v>
      </c>
      <c r="K457" s="30">
        <f t="shared" si="68"/>
        <v>0</v>
      </c>
      <c r="L457" s="30">
        <f t="shared" si="67"/>
        <v>0</v>
      </c>
      <c r="Q457" s="21">
        <v>2.5</v>
      </c>
    </row>
    <row r="458" spans="3:17">
      <c r="C458" s="163" t="s">
        <v>1049</v>
      </c>
      <c r="D458" s="162" t="s">
        <v>1310</v>
      </c>
      <c r="E458" s="162" t="s">
        <v>1138</v>
      </c>
      <c r="F458" s="31">
        <v>4800</v>
      </c>
      <c r="G458" s="66">
        <f>F458/60</f>
        <v>80</v>
      </c>
      <c r="H458" s="10" t="s">
        <v>91</v>
      </c>
      <c r="I458" s="9">
        <v>5</v>
      </c>
      <c r="J458" s="13">
        <f>G458/70</f>
        <v>1.1428571428571428</v>
      </c>
      <c r="K458" s="30">
        <f t="shared" si="68"/>
        <v>11.614401858304296</v>
      </c>
      <c r="L458" s="30">
        <f t="shared" si="67"/>
        <v>58.072009291521482</v>
      </c>
    </row>
    <row r="459" spans="3:17">
      <c r="E459" s="162" t="s">
        <v>1139</v>
      </c>
      <c r="F459" s="31">
        <v>1000</v>
      </c>
      <c r="G459" s="66">
        <f t="shared" ref="G459:G466" si="69">F459/60</f>
        <v>16.666666666666668</v>
      </c>
      <c r="H459" s="10" t="s">
        <v>23</v>
      </c>
      <c r="I459" s="10">
        <v>5</v>
      </c>
      <c r="J459" s="13">
        <f>G459/70</f>
        <v>0.23809523809523811</v>
      </c>
      <c r="K459" s="30">
        <f t="shared" si="68"/>
        <v>2.4196670538133955</v>
      </c>
      <c r="L459" s="30">
        <f t="shared" si="67"/>
        <v>12.098335269066977</v>
      </c>
    </row>
    <row r="460" spans="3:17">
      <c r="E460" s="162" t="s">
        <v>1140</v>
      </c>
      <c r="F460" s="31">
        <v>100</v>
      </c>
      <c r="G460" s="66">
        <f t="shared" si="69"/>
        <v>1.6666666666666667</v>
      </c>
      <c r="H460" s="10" t="s">
        <v>23</v>
      </c>
      <c r="I460" s="10">
        <v>5</v>
      </c>
      <c r="J460" s="13">
        <f>G460/70</f>
        <v>2.3809523809523812E-2</v>
      </c>
      <c r="K460" s="30">
        <f t="shared" si="68"/>
        <v>0.24196670538133955</v>
      </c>
      <c r="L460" s="30">
        <f t="shared" si="67"/>
        <v>1.2098335269066978</v>
      </c>
    </row>
    <row r="461" spans="3:17">
      <c r="E461" s="162" t="s">
        <v>1277</v>
      </c>
      <c r="F461" s="31">
        <v>200</v>
      </c>
      <c r="G461" s="66">
        <f t="shared" si="69"/>
        <v>3.3333333333333335</v>
      </c>
      <c r="H461" s="10" t="s">
        <v>14</v>
      </c>
      <c r="I461" s="10">
        <v>5</v>
      </c>
      <c r="J461" s="13">
        <f>G461/40</f>
        <v>8.3333333333333343E-2</v>
      </c>
      <c r="K461" s="30">
        <f t="shared" si="68"/>
        <v>0.84688346883468846</v>
      </c>
      <c r="L461" s="30">
        <f t="shared" si="67"/>
        <v>4.2344173441734423</v>
      </c>
    </row>
    <row r="462" spans="3:17">
      <c r="E462" s="162" t="s">
        <v>1142</v>
      </c>
      <c r="F462" s="31">
        <v>200</v>
      </c>
      <c r="G462" s="66">
        <f t="shared" si="69"/>
        <v>3.3333333333333335</v>
      </c>
      <c r="H462" s="10" t="s">
        <v>23</v>
      </c>
      <c r="I462" s="10">
        <v>5</v>
      </c>
      <c r="J462" s="13">
        <f>G462/40</f>
        <v>8.3333333333333343E-2</v>
      </c>
      <c r="K462" s="30">
        <f t="shared" si="68"/>
        <v>0.84688346883468846</v>
      </c>
      <c r="L462" s="30">
        <f t="shared" si="67"/>
        <v>4.2344173441734423</v>
      </c>
    </row>
    <row r="463" spans="3:17">
      <c r="C463" s="159"/>
      <c r="E463" s="162" t="s">
        <v>1143</v>
      </c>
      <c r="F463" s="31">
        <v>200</v>
      </c>
      <c r="G463" s="66">
        <f t="shared" si="69"/>
        <v>3.3333333333333335</v>
      </c>
      <c r="H463" s="10" t="s">
        <v>21</v>
      </c>
      <c r="I463" s="10">
        <v>4</v>
      </c>
      <c r="J463" s="13">
        <v>0.05</v>
      </c>
      <c r="K463" s="30">
        <f t="shared" si="68"/>
        <v>0.50813008130081305</v>
      </c>
      <c r="L463" s="30">
        <f t="shared" si="67"/>
        <v>2.0325203252032522</v>
      </c>
    </row>
    <row r="464" spans="3:17">
      <c r="E464" s="162" t="s">
        <v>1116</v>
      </c>
      <c r="F464" s="31">
        <v>200</v>
      </c>
      <c r="G464" s="66">
        <f t="shared" si="69"/>
        <v>3.3333333333333335</v>
      </c>
      <c r="H464" s="10" t="s">
        <v>14</v>
      </c>
      <c r="I464" s="10">
        <v>5</v>
      </c>
      <c r="J464" s="13">
        <f>G464/40</f>
        <v>8.3333333333333343E-2</v>
      </c>
      <c r="K464" s="30">
        <f t="shared" si="68"/>
        <v>0.84688346883468846</v>
      </c>
      <c r="L464" s="30">
        <f t="shared" si="67"/>
        <v>4.2344173441734423</v>
      </c>
    </row>
    <row r="465" spans="1:17">
      <c r="E465" s="162" t="s">
        <v>1119</v>
      </c>
      <c r="F465" s="31">
        <v>80</v>
      </c>
      <c r="G465" s="66">
        <f t="shared" si="69"/>
        <v>1.3333333333333333</v>
      </c>
      <c r="H465" s="10" t="s">
        <v>16</v>
      </c>
      <c r="I465" s="10">
        <v>5</v>
      </c>
      <c r="J465" s="13">
        <f>G465/7</f>
        <v>0.19047619047619047</v>
      </c>
      <c r="K465" s="30">
        <f t="shared" si="68"/>
        <v>1.9357336430507162</v>
      </c>
      <c r="L465" s="30">
        <f t="shared" si="67"/>
        <v>9.6786682152535803</v>
      </c>
    </row>
    <row r="466" spans="1:17">
      <c r="E466" s="162" t="s">
        <v>1144</v>
      </c>
      <c r="F466" s="31">
        <v>36</v>
      </c>
      <c r="G466" s="66">
        <f t="shared" si="69"/>
        <v>0.6</v>
      </c>
      <c r="H466" s="10" t="s">
        <v>23</v>
      </c>
      <c r="I466" s="10">
        <v>5</v>
      </c>
      <c r="J466" s="13">
        <f>G466/34</f>
        <v>1.7647058823529412E-2</v>
      </c>
      <c r="K466" s="30">
        <f t="shared" si="68"/>
        <v>0.1793400286944046</v>
      </c>
      <c r="L466" s="30">
        <f t="shared" si="67"/>
        <v>0.89670014347202298</v>
      </c>
    </row>
    <row r="467" spans="1:17">
      <c r="E467" s="162" t="s">
        <v>1145</v>
      </c>
      <c r="F467" s="31">
        <v>130</v>
      </c>
      <c r="G467" s="66">
        <f>F467/60</f>
        <v>2.1666666666666665</v>
      </c>
      <c r="H467" s="10" t="s">
        <v>23</v>
      </c>
      <c r="I467" s="10">
        <v>5</v>
      </c>
      <c r="J467" s="13">
        <v>0</v>
      </c>
      <c r="K467" s="30">
        <f t="shared" si="68"/>
        <v>0</v>
      </c>
      <c r="L467" s="30">
        <f t="shared" si="67"/>
        <v>0</v>
      </c>
    </row>
    <row r="468" spans="1:17">
      <c r="E468" s="164" t="s">
        <v>1133</v>
      </c>
      <c r="F468" s="31"/>
      <c r="G468" s="66">
        <v>0.7</v>
      </c>
      <c r="J468" s="18">
        <v>0</v>
      </c>
      <c r="K468" s="30">
        <f t="shared" si="68"/>
        <v>0</v>
      </c>
      <c r="L468" s="30">
        <f t="shared" si="67"/>
        <v>0</v>
      </c>
      <c r="P468" s="20">
        <v>0.7</v>
      </c>
    </row>
    <row r="469" spans="1:17">
      <c r="E469" s="162" t="s">
        <v>1146</v>
      </c>
      <c r="F469" s="31">
        <v>100</v>
      </c>
      <c r="G469" s="66">
        <f>F469/60</f>
        <v>1.6666666666666667</v>
      </c>
      <c r="J469" s="18">
        <v>0</v>
      </c>
      <c r="K469" s="30">
        <f t="shared" si="68"/>
        <v>0</v>
      </c>
      <c r="L469" s="30">
        <f t="shared" si="67"/>
        <v>0</v>
      </c>
      <c r="P469" s="20">
        <f>G469*22/100</f>
        <v>0.3666666666666667</v>
      </c>
    </row>
    <row r="470" spans="1:17">
      <c r="E470" s="162" t="s">
        <v>1147</v>
      </c>
      <c r="F470" s="31">
        <v>100</v>
      </c>
      <c r="G470" s="66">
        <f>F470/60</f>
        <v>1.6666666666666667</v>
      </c>
      <c r="J470" s="18">
        <v>0</v>
      </c>
      <c r="K470" s="30">
        <f t="shared" si="68"/>
        <v>0</v>
      </c>
      <c r="L470" s="30">
        <f t="shared" si="67"/>
        <v>0</v>
      </c>
      <c r="P470" s="20">
        <f>5*G470/100</f>
        <v>8.3333333333333343E-2</v>
      </c>
    </row>
    <row r="471" spans="1:17" ht="17.25" thickBot="1">
      <c r="A471" s="37"/>
      <c r="B471" s="37"/>
      <c r="C471" s="37"/>
      <c r="D471" s="40"/>
      <c r="E471" s="165"/>
      <c r="F471" s="37"/>
      <c r="G471" s="68"/>
      <c r="H471" s="37"/>
      <c r="I471" s="39"/>
      <c r="J471" s="26">
        <f>SUM(J448:J470)</f>
        <v>9.8414565826330538</v>
      </c>
      <c r="K471" s="38">
        <f>SUM(K448:K470)</f>
        <v>100.01480266903509</v>
      </c>
      <c r="L471" s="38"/>
      <c r="M471" s="38">
        <f>SUM(L448:L470)</f>
        <v>286.15124911753321</v>
      </c>
      <c r="N471" s="37" t="s">
        <v>36</v>
      </c>
      <c r="O471" s="37" t="s">
        <v>49</v>
      </c>
      <c r="P471" s="27">
        <f>SUM(P448:P470)</f>
        <v>2.0900000000000003</v>
      </c>
      <c r="Q471" s="28">
        <f>SUM(Q448:Q470)</f>
        <v>2.5</v>
      </c>
    </row>
    <row r="473" spans="1:17">
      <c r="A473" s="7">
        <v>17</v>
      </c>
      <c r="B473" s="7" t="s">
        <v>79</v>
      </c>
      <c r="C473" s="161" t="s">
        <v>1213</v>
      </c>
      <c r="D473" s="25" t="s">
        <v>1366</v>
      </c>
      <c r="E473" s="163" t="s">
        <v>1214</v>
      </c>
      <c r="G473" s="64">
        <v>100</v>
      </c>
      <c r="H473" s="10" t="s">
        <v>80</v>
      </c>
      <c r="I473" s="9">
        <v>2</v>
      </c>
      <c r="J473" s="13">
        <f>G473/50</f>
        <v>2</v>
      </c>
      <c r="K473" s="30">
        <f>J473/4.18*100</f>
        <v>47.846889952153113</v>
      </c>
      <c r="L473" s="30">
        <f>K473*I473</f>
        <v>95.693779904306226</v>
      </c>
    </row>
    <row r="474" spans="1:17">
      <c r="E474" s="158" t="s">
        <v>1215</v>
      </c>
      <c r="F474" s="31"/>
      <c r="G474" s="66">
        <v>16</v>
      </c>
      <c r="H474" s="10" t="s">
        <v>21</v>
      </c>
      <c r="I474" s="9">
        <v>4</v>
      </c>
      <c r="J474" s="13">
        <f>G474/50</f>
        <v>0.32</v>
      </c>
      <c r="K474" s="30">
        <f t="shared" ref="K474:K484" si="70">J474/4.18*100</f>
        <v>7.6555023923444985</v>
      </c>
      <c r="L474" s="30">
        <f t="shared" ref="L474:L484" si="71">K474*I474</f>
        <v>30.622009569377994</v>
      </c>
    </row>
    <row r="475" spans="1:17">
      <c r="D475" s="53"/>
      <c r="E475" s="162" t="s">
        <v>1158</v>
      </c>
      <c r="F475" s="31"/>
      <c r="G475" s="66">
        <v>9</v>
      </c>
      <c r="H475" s="10" t="s">
        <v>80</v>
      </c>
      <c r="I475" s="9">
        <v>2</v>
      </c>
      <c r="J475" s="13">
        <f>G475/30</f>
        <v>0.3</v>
      </c>
      <c r="K475" s="30">
        <f t="shared" si="70"/>
        <v>7.1770334928229662</v>
      </c>
      <c r="L475" s="30">
        <f t="shared" si="71"/>
        <v>14.354066985645932</v>
      </c>
    </row>
    <row r="476" spans="1:17">
      <c r="E476" s="162" t="s">
        <v>1192</v>
      </c>
      <c r="F476" s="31"/>
      <c r="G476" s="66">
        <v>12.5</v>
      </c>
      <c r="H476" s="10" t="s">
        <v>71</v>
      </c>
      <c r="I476" s="9">
        <v>4</v>
      </c>
      <c r="J476" s="13">
        <f>G476/70</f>
        <v>0.17857142857142858</v>
      </c>
      <c r="K476" s="30">
        <f t="shared" si="70"/>
        <v>4.2720437457279568</v>
      </c>
      <c r="L476" s="30">
        <f t="shared" si="71"/>
        <v>17.088174982911827</v>
      </c>
    </row>
    <row r="477" spans="1:17">
      <c r="E477" s="162" t="s">
        <v>1058</v>
      </c>
      <c r="F477" s="31"/>
      <c r="G477" s="66">
        <v>2.5</v>
      </c>
      <c r="H477" s="10" t="s">
        <v>81</v>
      </c>
      <c r="I477" s="9">
        <v>5</v>
      </c>
      <c r="J477" s="13">
        <f>G477/40</f>
        <v>6.25E-2</v>
      </c>
      <c r="K477" s="30">
        <f t="shared" si="70"/>
        <v>1.4952153110047848</v>
      </c>
      <c r="L477" s="30">
        <f t="shared" si="71"/>
        <v>7.4760765550239237</v>
      </c>
    </row>
    <row r="478" spans="1:17">
      <c r="E478" s="162" t="s">
        <v>1125</v>
      </c>
      <c r="F478" s="31"/>
      <c r="G478" s="66">
        <v>25</v>
      </c>
      <c r="H478" s="10" t="s">
        <v>14</v>
      </c>
      <c r="I478" s="9">
        <v>5</v>
      </c>
      <c r="J478" s="13">
        <f>G478/70</f>
        <v>0.35714285714285715</v>
      </c>
      <c r="K478" s="30">
        <f t="shared" si="70"/>
        <v>8.5440874914559135</v>
      </c>
      <c r="L478" s="30">
        <f t="shared" si="71"/>
        <v>42.720437457279566</v>
      </c>
    </row>
    <row r="479" spans="1:17">
      <c r="C479" s="159"/>
      <c r="E479" s="162" t="s">
        <v>1216</v>
      </c>
      <c r="F479" s="31"/>
      <c r="G479" s="66">
        <v>50</v>
      </c>
      <c r="H479" s="10" t="s">
        <v>82</v>
      </c>
      <c r="I479" s="9">
        <v>5</v>
      </c>
      <c r="J479" s="13">
        <f>G479/70</f>
        <v>0.7142857142857143</v>
      </c>
      <c r="K479" s="30">
        <f t="shared" si="70"/>
        <v>17.088174982911827</v>
      </c>
      <c r="L479" s="30">
        <f t="shared" si="71"/>
        <v>85.440874914559132</v>
      </c>
    </row>
    <row r="480" spans="1:17">
      <c r="E480" s="162" t="s">
        <v>1116</v>
      </c>
      <c r="F480" s="31"/>
      <c r="G480" s="64">
        <v>6.25</v>
      </c>
      <c r="H480" s="10" t="s">
        <v>14</v>
      </c>
      <c r="I480" s="9">
        <v>5</v>
      </c>
      <c r="J480" s="13">
        <f>G480/40</f>
        <v>0.15625</v>
      </c>
      <c r="K480" s="30">
        <f t="shared" si="70"/>
        <v>3.7380382775119618</v>
      </c>
      <c r="L480" s="30">
        <f t="shared" si="71"/>
        <v>18.69019138755981</v>
      </c>
    </row>
    <row r="481" spans="1:17">
      <c r="E481" s="162" t="s">
        <v>1119</v>
      </c>
      <c r="F481" s="31"/>
      <c r="G481" s="64">
        <v>0.625</v>
      </c>
      <c r="H481" s="10" t="s">
        <v>16</v>
      </c>
      <c r="I481" s="10">
        <v>5</v>
      </c>
      <c r="J481" s="13">
        <f>G481/7</f>
        <v>8.9285714285714288E-2</v>
      </c>
      <c r="K481" s="30">
        <f t="shared" si="70"/>
        <v>2.1360218728639784</v>
      </c>
      <c r="L481" s="30">
        <f t="shared" si="71"/>
        <v>10.680109364319891</v>
      </c>
    </row>
    <row r="482" spans="1:17">
      <c r="E482" s="162" t="s">
        <v>1160</v>
      </c>
      <c r="F482" s="31"/>
      <c r="G482" s="64">
        <v>8.75</v>
      </c>
      <c r="H482" s="10"/>
      <c r="I482" s="10"/>
      <c r="J482" s="13">
        <v>0</v>
      </c>
      <c r="K482" s="30">
        <f t="shared" si="70"/>
        <v>0</v>
      </c>
      <c r="L482" s="30">
        <f t="shared" si="71"/>
        <v>0</v>
      </c>
      <c r="P482" s="20">
        <f>7*G482/100</f>
        <v>0.61250000000000004</v>
      </c>
    </row>
    <row r="483" spans="1:17">
      <c r="E483" s="162" t="s">
        <v>1217</v>
      </c>
      <c r="F483" s="31"/>
      <c r="G483" s="64">
        <v>2.5</v>
      </c>
      <c r="H483" s="10"/>
      <c r="I483" s="10"/>
      <c r="J483" s="13">
        <v>0</v>
      </c>
      <c r="K483" s="30">
        <f t="shared" si="70"/>
        <v>0</v>
      </c>
      <c r="L483" s="30">
        <f t="shared" si="71"/>
        <v>0</v>
      </c>
    </row>
    <row r="484" spans="1:17">
      <c r="E484" s="164" t="s">
        <v>1151</v>
      </c>
      <c r="F484" s="31"/>
      <c r="G484" s="64">
        <v>3.75</v>
      </c>
      <c r="J484" s="13">
        <v>0</v>
      </c>
      <c r="K484" s="30">
        <f t="shared" si="70"/>
        <v>0</v>
      </c>
      <c r="L484" s="30">
        <f t="shared" si="71"/>
        <v>0</v>
      </c>
      <c r="P484" s="20">
        <f>16*G484/100</f>
        <v>0.6</v>
      </c>
    </row>
    <row r="485" spans="1:17" ht="17.25" thickBot="1">
      <c r="A485" s="37"/>
      <c r="B485" s="37"/>
      <c r="C485" s="37"/>
      <c r="D485" s="40"/>
      <c r="E485" s="165"/>
      <c r="F485" s="37"/>
      <c r="G485" s="68"/>
      <c r="H485" s="37"/>
      <c r="I485" s="39"/>
      <c r="J485" s="26">
        <f>SUM(J473:J484)</f>
        <v>4.1780357142857136</v>
      </c>
      <c r="K485" s="38">
        <f>SUM(K473:K484)</f>
        <v>99.953007518796994</v>
      </c>
      <c r="L485" s="38">
        <f t="shared" ref="L485" si="72">K485*I485</f>
        <v>0</v>
      </c>
      <c r="M485" s="38">
        <f>SUM(L473:L484)</f>
        <v>322.76572112098432</v>
      </c>
      <c r="N485" s="37"/>
      <c r="O485" s="37" t="s">
        <v>59</v>
      </c>
      <c r="P485" s="27">
        <f>SUM(P473:P484)</f>
        <v>1.2124999999999999</v>
      </c>
      <c r="Q485" s="28">
        <f>SUM(Q473:Q484)</f>
        <v>0</v>
      </c>
    </row>
    <row r="487" spans="1:17">
      <c r="A487" s="7">
        <v>18</v>
      </c>
      <c r="B487" s="7" t="s">
        <v>88</v>
      </c>
      <c r="C487" s="161" t="s">
        <v>1083</v>
      </c>
      <c r="D487" s="25" t="s">
        <v>1366</v>
      </c>
      <c r="E487" s="163" t="s">
        <v>1218</v>
      </c>
      <c r="G487" s="64">
        <v>300</v>
      </c>
      <c r="H487" s="10" t="s">
        <v>80</v>
      </c>
      <c r="I487" s="9">
        <v>2</v>
      </c>
      <c r="J487" s="13">
        <f>G487/90</f>
        <v>3.3333333333333335</v>
      </c>
      <c r="K487" s="30">
        <f>J487/9.55*100</f>
        <v>34.904013961605585</v>
      </c>
      <c r="L487" s="30">
        <f>K487*I487</f>
        <v>69.808027923211171</v>
      </c>
    </row>
    <row r="488" spans="1:17">
      <c r="E488" s="162" t="s">
        <v>1126</v>
      </c>
      <c r="F488" s="31"/>
      <c r="G488" s="66">
        <v>60</v>
      </c>
      <c r="H488" s="10" t="s">
        <v>83</v>
      </c>
      <c r="I488" s="9">
        <v>2</v>
      </c>
      <c r="J488" s="13">
        <f>G488/140</f>
        <v>0.42857142857142855</v>
      </c>
      <c r="K488" s="30">
        <f t="shared" ref="K488:K505" si="73">J488/9.55*100</f>
        <v>4.4876589379207177</v>
      </c>
      <c r="L488" s="30">
        <f t="shared" ref="L488:L505" si="74">K488*I488</f>
        <v>8.9753178758414354</v>
      </c>
    </row>
    <row r="489" spans="1:17">
      <c r="C489" s="159"/>
      <c r="E489" s="162" t="s">
        <v>1219</v>
      </c>
      <c r="F489" s="31"/>
      <c r="G489" s="66">
        <v>5</v>
      </c>
      <c r="H489" s="10"/>
      <c r="I489" s="9"/>
      <c r="J489" s="13">
        <v>0</v>
      </c>
      <c r="K489" s="30">
        <f t="shared" si="73"/>
        <v>0</v>
      </c>
      <c r="L489" s="30">
        <f t="shared" si="74"/>
        <v>0</v>
      </c>
    </row>
    <row r="490" spans="1:17">
      <c r="E490" s="162" t="s">
        <v>1200</v>
      </c>
      <c r="F490" s="31"/>
      <c r="G490" s="66">
        <v>10</v>
      </c>
      <c r="H490" s="10" t="s">
        <v>17</v>
      </c>
      <c r="I490" s="9">
        <v>1</v>
      </c>
      <c r="J490" s="13">
        <f>G490/40</f>
        <v>0.25</v>
      </c>
      <c r="K490" s="30">
        <f t="shared" si="73"/>
        <v>2.6178010471204183</v>
      </c>
      <c r="L490" s="30">
        <f t="shared" si="74"/>
        <v>2.6178010471204183</v>
      </c>
    </row>
    <row r="491" spans="1:17">
      <c r="E491" s="162" t="s">
        <v>1220</v>
      </c>
      <c r="F491" s="31"/>
      <c r="G491" s="66">
        <v>10</v>
      </c>
      <c r="H491" s="10" t="s">
        <v>89</v>
      </c>
      <c r="I491" s="9">
        <v>2</v>
      </c>
      <c r="J491" s="13">
        <f>G491/40</f>
        <v>0.25</v>
      </c>
      <c r="K491" s="30">
        <f t="shared" si="73"/>
        <v>2.6178010471204183</v>
      </c>
      <c r="L491" s="30">
        <f t="shared" si="74"/>
        <v>5.2356020942408366</v>
      </c>
    </row>
    <row r="492" spans="1:17">
      <c r="E492" s="162" t="s">
        <v>1216</v>
      </c>
      <c r="F492" s="31"/>
      <c r="G492" s="66">
        <v>50</v>
      </c>
      <c r="H492" s="10" t="s">
        <v>90</v>
      </c>
      <c r="I492" s="9">
        <v>5</v>
      </c>
      <c r="J492" s="13">
        <f>G492/70</f>
        <v>0.7142857142857143</v>
      </c>
      <c r="K492" s="30">
        <f>J492/9.55*100</f>
        <v>7.4794315632011958</v>
      </c>
      <c r="L492" s="30">
        <f t="shared" si="74"/>
        <v>37.397157816005979</v>
      </c>
    </row>
    <row r="493" spans="1:17">
      <c r="E493" s="162" t="s">
        <v>1125</v>
      </c>
      <c r="F493" s="31"/>
      <c r="G493" s="64">
        <v>50</v>
      </c>
      <c r="H493" s="10" t="s">
        <v>14</v>
      </c>
      <c r="I493" s="9">
        <v>5</v>
      </c>
      <c r="J493" s="13">
        <f>G493/70</f>
        <v>0.7142857142857143</v>
      </c>
      <c r="K493" s="30">
        <f t="shared" si="73"/>
        <v>7.4794315632011958</v>
      </c>
      <c r="L493" s="30">
        <f t="shared" si="74"/>
        <v>37.397157816005979</v>
      </c>
    </row>
    <row r="494" spans="1:17">
      <c r="E494" s="162" t="s">
        <v>1181</v>
      </c>
      <c r="F494" s="31"/>
      <c r="G494" s="64">
        <v>20</v>
      </c>
      <c r="H494" s="10" t="s">
        <v>92</v>
      </c>
      <c r="I494" s="9">
        <v>4</v>
      </c>
      <c r="J494" s="13">
        <f>G494/70</f>
        <v>0.2857142857142857</v>
      </c>
      <c r="K494" s="30">
        <f t="shared" si="73"/>
        <v>2.9917726252804782</v>
      </c>
      <c r="L494" s="30">
        <f t="shared" si="74"/>
        <v>11.967090501121913</v>
      </c>
    </row>
    <row r="495" spans="1:17">
      <c r="E495" s="162" t="s">
        <v>1129</v>
      </c>
      <c r="F495" s="31"/>
      <c r="G495" s="64">
        <v>20</v>
      </c>
      <c r="H495" s="10"/>
      <c r="I495" s="10"/>
      <c r="J495" s="13">
        <v>0</v>
      </c>
      <c r="K495" s="30">
        <f t="shared" si="73"/>
        <v>0</v>
      </c>
      <c r="L495" s="30">
        <f t="shared" si="74"/>
        <v>0</v>
      </c>
      <c r="Q495" s="21">
        <v>20</v>
      </c>
    </row>
    <row r="496" spans="1:17">
      <c r="E496" s="164" t="s">
        <v>1222</v>
      </c>
      <c r="F496" s="31"/>
      <c r="G496" s="64">
        <v>10</v>
      </c>
      <c r="H496" s="10"/>
      <c r="I496" s="10"/>
      <c r="J496" s="13">
        <v>0</v>
      </c>
      <c r="K496" s="30">
        <f t="shared" si="73"/>
        <v>0</v>
      </c>
      <c r="L496" s="30">
        <f t="shared" si="74"/>
        <v>0</v>
      </c>
      <c r="P496" s="20">
        <f>G496*8.1/100</f>
        <v>0.81</v>
      </c>
    </row>
    <row r="497" spans="1:17">
      <c r="C497" s="29" t="s">
        <v>1084</v>
      </c>
      <c r="D497" s="25" t="s">
        <v>1366</v>
      </c>
      <c r="E497" s="164" t="s">
        <v>1219</v>
      </c>
      <c r="F497" s="31"/>
      <c r="G497" s="64">
        <v>30</v>
      </c>
      <c r="J497" s="13">
        <v>0</v>
      </c>
      <c r="K497" s="30">
        <f t="shared" si="73"/>
        <v>0</v>
      </c>
      <c r="L497" s="30">
        <f t="shared" si="74"/>
        <v>0</v>
      </c>
    </row>
    <row r="498" spans="1:17">
      <c r="E498" s="162" t="s">
        <v>1200</v>
      </c>
      <c r="F498" s="31"/>
      <c r="G498" s="66">
        <v>80</v>
      </c>
      <c r="H498" s="10" t="s">
        <v>17</v>
      </c>
      <c r="I498" s="9">
        <v>1</v>
      </c>
      <c r="J498" s="13">
        <f>G498/40</f>
        <v>2</v>
      </c>
      <c r="K498" s="30">
        <f t="shared" si="73"/>
        <v>20.942408376963346</v>
      </c>
      <c r="L498" s="30">
        <f t="shared" si="74"/>
        <v>20.942408376963346</v>
      </c>
    </row>
    <row r="499" spans="1:17">
      <c r="E499" s="162" t="s">
        <v>1192</v>
      </c>
      <c r="F499" s="31"/>
      <c r="G499" s="66">
        <v>10</v>
      </c>
      <c r="H499" s="10" t="s">
        <v>92</v>
      </c>
      <c r="I499" s="9">
        <v>4</v>
      </c>
      <c r="J499" s="13">
        <f>G499/70</f>
        <v>0.14285714285714285</v>
      </c>
      <c r="K499" s="30">
        <f t="shared" si="73"/>
        <v>1.4958863126402391</v>
      </c>
      <c r="L499" s="30">
        <f t="shared" si="74"/>
        <v>5.9835452505609563</v>
      </c>
    </row>
    <row r="500" spans="1:17">
      <c r="E500" s="162" t="s">
        <v>1174</v>
      </c>
      <c r="F500" s="31"/>
      <c r="G500" s="66">
        <v>10</v>
      </c>
      <c r="H500" s="10" t="s">
        <v>93</v>
      </c>
      <c r="I500" s="9">
        <v>5</v>
      </c>
      <c r="J500" s="13">
        <f>G500/70</f>
        <v>0.14285714285714285</v>
      </c>
      <c r="K500" s="30">
        <f t="shared" si="73"/>
        <v>1.4958863126402391</v>
      </c>
      <c r="L500" s="30">
        <f t="shared" si="74"/>
        <v>7.4794315632011958</v>
      </c>
    </row>
    <row r="501" spans="1:17">
      <c r="E501" s="162" t="s">
        <v>1125</v>
      </c>
      <c r="F501" s="31"/>
      <c r="G501" s="66">
        <v>10</v>
      </c>
      <c r="H501" s="10" t="s">
        <v>14</v>
      </c>
      <c r="I501" s="9">
        <v>5</v>
      </c>
      <c r="J501" s="13">
        <f>G501/70</f>
        <v>0.14285714285714285</v>
      </c>
      <c r="K501" s="30">
        <f t="shared" si="73"/>
        <v>1.4958863126402391</v>
      </c>
      <c r="L501" s="30">
        <f t="shared" si="74"/>
        <v>7.4794315632011958</v>
      </c>
    </row>
    <row r="502" spans="1:17">
      <c r="E502" s="162" t="s">
        <v>1252</v>
      </c>
      <c r="F502" s="31"/>
      <c r="G502" s="66">
        <v>10</v>
      </c>
      <c r="H502" s="10" t="s">
        <v>93</v>
      </c>
      <c r="I502" s="9">
        <v>5</v>
      </c>
      <c r="J502" s="13">
        <f>G502/70</f>
        <v>0.14285714285714285</v>
      </c>
      <c r="K502" s="30">
        <f t="shared" si="73"/>
        <v>1.4958863126402391</v>
      </c>
      <c r="L502" s="30">
        <f t="shared" si="74"/>
        <v>7.4794315632011958</v>
      </c>
    </row>
    <row r="503" spans="1:17">
      <c r="E503" s="162" t="s">
        <v>1129</v>
      </c>
      <c r="F503" s="31"/>
      <c r="G503" s="64">
        <v>20</v>
      </c>
      <c r="H503" s="10"/>
      <c r="I503" s="10"/>
      <c r="J503" s="13">
        <v>0</v>
      </c>
      <c r="K503" s="30">
        <f t="shared" si="73"/>
        <v>0</v>
      </c>
      <c r="L503" s="30">
        <f t="shared" si="74"/>
        <v>0</v>
      </c>
    </row>
    <row r="504" spans="1:17">
      <c r="E504" s="162" t="s">
        <v>1152</v>
      </c>
      <c r="F504" s="31"/>
      <c r="G504" s="64">
        <v>10</v>
      </c>
      <c r="H504" s="10"/>
      <c r="I504" s="10"/>
      <c r="J504" s="13">
        <v>0</v>
      </c>
      <c r="K504" s="30">
        <f t="shared" si="73"/>
        <v>0</v>
      </c>
      <c r="L504" s="30">
        <f t="shared" si="74"/>
        <v>0</v>
      </c>
      <c r="Q504" s="21">
        <v>20</v>
      </c>
    </row>
    <row r="505" spans="1:17">
      <c r="C505" s="163" t="s">
        <v>1085</v>
      </c>
      <c r="D505" s="25" t="s">
        <v>76</v>
      </c>
      <c r="E505" s="163" t="s">
        <v>1085</v>
      </c>
      <c r="F505" s="31"/>
      <c r="G505" s="64">
        <v>70</v>
      </c>
      <c r="H505" s="10" t="s">
        <v>93</v>
      </c>
      <c r="I505" s="9">
        <v>5</v>
      </c>
      <c r="J505" s="13">
        <f>G505/70</f>
        <v>1</v>
      </c>
      <c r="K505" s="30">
        <f t="shared" si="73"/>
        <v>10.471204188481673</v>
      </c>
      <c r="L505" s="30">
        <f t="shared" si="74"/>
        <v>52.356020942408364</v>
      </c>
      <c r="P505" s="20">
        <f>G505*2.8/100</f>
        <v>1.96</v>
      </c>
    </row>
    <row r="506" spans="1:17" ht="17.25" thickBot="1">
      <c r="A506" s="37"/>
      <c r="B506" s="37"/>
      <c r="C506" s="37"/>
      <c r="D506" s="40"/>
      <c r="E506" s="165"/>
      <c r="F506" s="37"/>
      <c r="G506" s="68"/>
      <c r="H506" s="37"/>
      <c r="I506" s="39"/>
      <c r="J506" s="26">
        <f>SUM(J487:J505)</f>
        <v>9.5476190476190457</v>
      </c>
      <c r="K506" s="38">
        <f>SUM(K487:K497)</f>
        <v>62.577910745450005</v>
      </c>
      <c r="L506" s="38">
        <f t="shared" ref="L506" si="75">K506*I506</f>
        <v>0</v>
      </c>
      <c r="M506" s="38">
        <f>SUM(L487:L505)</f>
        <v>275.11842433308396</v>
      </c>
      <c r="N506" s="37" t="s">
        <v>94</v>
      </c>
      <c r="O506" s="37" t="s">
        <v>77</v>
      </c>
      <c r="P506" s="27">
        <f>SUM(P487:P505)</f>
        <v>2.77</v>
      </c>
      <c r="Q506" s="28">
        <f>SUM(Q487:Q505)</f>
        <v>40</v>
      </c>
    </row>
    <row r="508" spans="1:17">
      <c r="A508" s="29">
        <v>19</v>
      </c>
      <c r="B508" s="7" t="s">
        <v>95</v>
      </c>
      <c r="C508" s="163" t="s">
        <v>1086</v>
      </c>
      <c r="D508" s="25" t="s">
        <v>1366</v>
      </c>
      <c r="E508" s="163" t="s">
        <v>1114</v>
      </c>
      <c r="G508" s="64">
        <v>90</v>
      </c>
      <c r="H508" s="10" t="s">
        <v>15</v>
      </c>
      <c r="I508" s="10">
        <v>2</v>
      </c>
      <c r="J508" s="13">
        <f>G508/30</f>
        <v>3</v>
      </c>
      <c r="K508" s="30">
        <f>J508/6.5*100</f>
        <v>46.153846153846153</v>
      </c>
      <c r="L508" s="30">
        <f t="shared" ref="L508:L515" si="76">K508*I508</f>
        <v>92.307692307692307</v>
      </c>
    </row>
    <row r="509" spans="1:17">
      <c r="C509" s="159"/>
      <c r="E509" s="162" t="s">
        <v>1223</v>
      </c>
      <c r="F509" s="31"/>
      <c r="G509" s="66">
        <v>40</v>
      </c>
      <c r="H509" s="10" t="s">
        <v>21</v>
      </c>
      <c r="I509" s="9">
        <v>4</v>
      </c>
      <c r="J509" s="13">
        <f>G509/50</f>
        <v>0.8</v>
      </c>
      <c r="K509" s="30">
        <f t="shared" ref="K509:K515" si="77">J509/6.5*100</f>
        <v>12.307692307692308</v>
      </c>
      <c r="L509" s="30">
        <f t="shared" si="76"/>
        <v>49.230769230769234</v>
      </c>
    </row>
    <row r="510" spans="1:17">
      <c r="E510" s="162" t="s">
        <v>1224</v>
      </c>
      <c r="F510" s="31"/>
      <c r="G510" s="66">
        <v>40</v>
      </c>
      <c r="H510" s="10" t="s">
        <v>21</v>
      </c>
      <c r="I510" s="9">
        <v>4</v>
      </c>
      <c r="J510" s="13">
        <f>G510/50</f>
        <v>0.8</v>
      </c>
      <c r="K510" s="30">
        <f t="shared" si="77"/>
        <v>12.307692307692308</v>
      </c>
      <c r="L510" s="30">
        <f t="shared" si="76"/>
        <v>49.230769230769234</v>
      </c>
    </row>
    <row r="511" spans="1:17">
      <c r="E511" s="162" t="s">
        <v>1225</v>
      </c>
      <c r="F511" s="31"/>
      <c r="G511" s="66">
        <v>20</v>
      </c>
      <c r="H511" s="10" t="s">
        <v>21</v>
      </c>
      <c r="I511" s="9">
        <v>4</v>
      </c>
      <c r="J511" s="13">
        <f>G511/50</f>
        <v>0.4</v>
      </c>
      <c r="K511" s="30">
        <f t="shared" si="77"/>
        <v>6.1538461538461542</v>
      </c>
      <c r="L511" s="30">
        <f t="shared" si="76"/>
        <v>24.615384615384617</v>
      </c>
    </row>
    <row r="512" spans="1:17">
      <c r="E512" s="162" t="s">
        <v>1152</v>
      </c>
      <c r="F512" s="31"/>
      <c r="G512" s="66">
        <v>10</v>
      </c>
      <c r="H512" s="10"/>
      <c r="I512" s="9"/>
      <c r="J512" s="13">
        <v>0</v>
      </c>
      <c r="K512" s="30">
        <f t="shared" si="77"/>
        <v>0</v>
      </c>
      <c r="L512" s="30">
        <f t="shared" si="76"/>
        <v>0</v>
      </c>
    </row>
    <row r="513" spans="1:17">
      <c r="E513" s="162" t="s">
        <v>1226</v>
      </c>
      <c r="F513" s="31"/>
      <c r="G513" s="66">
        <v>5</v>
      </c>
      <c r="H513" s="10"/>
      <c r="I513" s="9"/>
      <c r="J513" s="13">
        <v>0</v>
      </c>
      <c r="K513" s="30">
        <f t="shared" si="77"/>
        <v>0</v>
      </c>
      <c r="L513" s="30">
        <f t="shared" si="76"/>
        <v>0</v>
      </c>
      <c r="P513" s="20">
        <f>G513*14.6/100</f>
        <v>0.73</v>
      </c>
    </row>
    <row r="514" spans="1:17">
      <c r="C514" s="163" t="s">
        <v>1227</v>
      </c>
      <c r="E514" s="163" t="s">
        <v>1228</v>
      </c>
      <c r="F514" s="29">
        <v>24</v>
      </c>
      <c r="G514" s="64">
        <f>F514/2</f>
        <v>12</v>
      </c>
      <c r="J514" s="18">
        <v>0</v>
      </c>
      <c r="K514" s="30">
        <f t="shared" si="77"/>
        <v>0</v>
      </c>
      <c r="L514" s="30">
        <f t="shared" si="76"/>
        <v>0</v>
      </c>
      <c r="P514" s="20">
        <f>G514*10.8/100</f>
        <v>1.2960000000000003</v>
      </c>
    </row>
    <row r="515" spans="1:17">
      <c r="C515" s="163" t="s">
        <v>1088</v>
      </c>
      <c r="E515" s="163" t="s">
        <v>1088</v>
      </c>
      <c r="G515" s="64">
        <v>25</v>
      </c>
      <c r="H515" s="10" t="s">
        <v>23</v>
      </c>
      <c r="I515" s="9">
        <v>5</v>
      </c>
      <c r="J515" s="18">
        <v>1.5</v>
      </c>
      <c r="K515" s="30">
        <f t="shared" si="77"/>
        <v>23.076923076923077</v>
      </c>
      <c r="L515" s="30">
        <f t="shared" si="76"/>
        <v>115.38461538461539</v>
      </c>
      <c r="P515" s="20">
        <f>G515*7/100</f>
        <v>1.75</v>
      </c>
    </row>
    <row r="516" spans="1:17" ht="17.25" thickBot="1">
      <c r="A516" s="37"/>
      <c r="B516" s="37"/>
      <c r="C516" s="37"/>
      <c r="D516" s="40"/>
      <c r="E516" s="165"/>
      <c r="F516" s="37"/>
      <c r="G516" s="68"/>
      <c r="H516" s="37"/>
      <c r="I516" s="39"/>
      <c r="J516" s="26">
        <f>SUM(J508:J515)</f>
        <v>6.5</v>
      </c>
      <c r="K516" s="38">
        <f>SUM(K508:K515)</f>
        <v>100.00000000000001</v>
      </c>
      <c r="L516" s="38">
        <f t="shared" ref="L516" si="78">K516*I516</f>
        <v>0</v>
      </c>
      <c r="M516" s="38">
        <f>SUM(L508:L515)</f>
        <v>330.76923076923077</v>
      </c>
      <c r="N516" s="37" t="s">
        <v>36</v>
      </c>
      <c r="O516" s="37" t="s">
        <v>13</v>
      </c>
      <c r="P516" s="27">
        <f>SUM(P513:P515)</f>
        <v>3.7760000000000002</v>
      </c>
      <c r="Q516" s="28"/>
    </row>
    <row r="518" spans="1:17">
      <c r="A518" s="6">
        <v>20</v>
      </c>
      <c r="B518" s="7" t="s">
        <v>97</v>
      </c>
      <c r="C518" s="29" t="s">
        <v>1089</v>
      </c>
      <c r="D518" s="25" t="s">
        <v>96</v>
      </c>
      <c r="E518" s="163" t="s">
        <v>1170</v>
      </c>
      <c r="G518" s="64">
        <v>80</v>
      </c>
      <c r="H518" s="10" t="s">
        <v>15</v>
      </c>
      <c r="I518" s="10">
        <v>2</v>
      </c>
      <c r="J518" s="13">
        <f>G518/40</f>
        <v>2</v>
      </c>
      <c r="K518" s="30">
        <f>J518/6*100</f>
        <v>33.333333333333329</v>
      </c>
      <c r="L518" s="30">
        <f>K518*I518</f>
        <v>66.666666666666657</v>
      </c>
    </row>
    <row r="519" spans="1:17">
      <c r="A519" s="6"/>
      <c r="E519" s="163" t="s">
        <v>1138</v>
      </c>
      <c r="G519" s="64">
        <v>210</v>
      </c>
      <c r="H519" s="10" t="s">
        <v>23</v>
      </c>
      <c r="I519" s="9">
        <v>5</v>
      </c>
      <c r="J519" s="13">
        <f>G519/70</f>
        <v>3</v>
      </c>
      <c r="K519" s="30">
        <f t="shared" ref="K519:K522" si="79">J519/6*100</f>
        <v>50</v>
      </c>
      <c r="L519" s="30">
        <f t="shared" ref="L519:L522" si="80">K519*I519</f>
        <v>250</v>
      </c>
    </row>
    <row r="520" spans="1:17">
      <c r="A520" s="6"/>
      <c r="C520" s="163" t="s">
        <v>1090</v>
      </c>
      <c r="E520" s="163" t="s">
        <v>1229</v>
      </c>
      <c r="G520" s="64">
        <v>30</v>
      </c>
      <c r="H520" s="10" t="s">
        <v>15</v>
      </c>
      <c r="I520" s="10">
        <v>2</v>
      </c>
      <c r="J520" s="18">
        <v>1</v>
      </c>
      <c r="K520" s="30">
        <f t="shared" si="79"/>
        <v>16.666666666666664</v>
      </c>
      <c r="L520" s="30">
        <f t="shared" si="80"/>
        <v>33.333333333333329</v>
      </c>
    </row>
    <row r="521" spans="1:17">
      <c r="E521" s="162" t="s">
        <v>1226</v>
      </c>
      <c r="G521" s="64">
        <v>5</v>
      </c>
      <c r="J521" s="18">
        <v>0</v>
      </c>
      <c r="K521" s="30">
        <f t="shared" si="79"/>
        <v>0</v>
      </c>
      <c r="L521" s="30">
        <f t="shared" si="80"/>
        <v>0</v>
      </c>
      <c r="P521" s="20">
        <f>G521*14.6/100</f>
        <v>0.73</v>
      </c>
    </row>
    <row r="522" spans="1:17">
      <c r="E522" s="163" t="s">
        <v>1230</v>
      </c>
      <c r="G522" s="64">
        <v>100</v>
      </c>
      <c r="J522" s="18">
        <v>0</v>
      </c>
      <c r="K522" s="30">
        <f t="shared" si="79"/>
        <v>0</v>
      </c>
      <c r="L522" s="30">
        <f t="shared" si="80"/>
        <v>0</v>
      </c>
      <c r="P522" s="20">
        <v>0.7</v>
      </c>
    </row>
    <row r="523" spans="1:17" ht="17.25" thickBot="1">
      <c r="A523" s="37"/>
      <c r="B523" s="37"/>
      <c r="C523" s="37"/>
      <c r="D523" s="40"/>
      <c r="E523" s="165"/>
      <c r="F523" s="37"/>
      <c r="G523" s="68"/>
      <c r="H523" s="37"/>
      <c r="I523" s="39"/>
      <c r="J523" s="26">
        <f>SUM(J518:J522)</f>
        <v>6</v>
      </c>
      <c r="K523" s="38">
        <f>SUM(K518:K522)</f>
        <v>100</v>
      </c>
      <c r="L523" s="38"/>
      <c r="M523" s="38">
        <f>SUM(L518:L522)</f>
        <v>349.99999999999994</v>
      </c>
      <c r="N523" s="37"/>
      <c r="O523" s="37" t="s">
        <v>99</v>
      </c>
      <c r="P523" s="27">
        <f>SUM(P518:P522)</f>
        <v>1.43</v>
      </c>
      <c r="Q523" s="28"/>
    </row>
    <row r="525" spans="1:17">
      <c r="A525" s="29">
        <v>21</v>
      </c>
      <c r="B525" s="7" t="s">
        <v>100</v>
      </c>
      <c r="C525" s="162" t="s">
        <v>1114</v>
      </c>
      <c r="E525" s="163" t="s">
        <v>1114</v>
      </c>
      <c r="G525" s="64">
        <v>90</v>
      </c>
      <c r="H525" s="10" t="s">
        <v>15</v>
      </c>
      <c r="I525" s="10">
        <v>2</v>
      </c>
      <c r="J525" s="13">
        <f>G525/30</f>
        <v>3</v>
      </c>
      <c r="K525" s="30">
        <f>J525/6.93*100</f>
        <v>43.290043290043286</v>
      </c>
      <c r="L525" s="30">
        <f t="shared" ref="L525:L544" si="81">K525*I525</f>
        <v>86.580086580086572</v>
      </c>
    </row>
    <row r="526" spans="1:17">
      <c r="C526" s="162" t="s">
        <v>1091</v>
      </c>
      <c r="D526" s="25" t="s">
        <v>1314</v>
      </c>
      <c r="E526" s="163" t="s">
        <v>1133</v>
      </c>
      <c r="G526" s="64">
        <v>1</v>
      </c>
      <c r="J526" s="18">
        <v>0</v>
      </c>
      <c r="K526" s="30">
        <f t="shared" ref="K526:K544" si="82">J526/6.93*100</f>
        <v>0</v>
      </c>
      <c r="L526" s="30">
        <f t="shared" si="81"/>
        <v>0</v>
      </c>
      <c r="P526" s="20">
        <v>1</v>
      </c>
    </row>
    <row r="527" spans="1:17">
      <c r="E527" s="163" t="s">
        <v>1231</v>
      </c>
      <c r="G527" s="64">
        <v>2</v>
      </c>
      <c r="H527" s="10" t="s">
        <v>23</v>
      </c>
      <c r="I527" s="9">
        <v>5</v>
      </c>
      <c r="J527" s="13">
        <f>G527/6.7</f>
        <v>0.29850746268656714</v>
      </c>
      <c r="K527" s="30">
        <f t="shared" si="82"/>
        <v>4.3074669940341579</v>
      </c>
      <c r="L527" s="30">
        <f t="shared" si="81"/>
        <v>21.537334970170789</v>
      </c>
    </row>
    <row r="528" spans="1:17">
      <c r="E528" s="163" t="s">
        <v>1120</v>
      </c>
      <c r="G528" s="64">
        <v>2</v>
      </c>
      <c r="H528" s="10" t="s">
        <v>16</v>
      </c>
      <c r="I528" s="9">
        <v>5</v>
      </c>
      <c r="J528" s="18">
        <f>G528/7</f>
        <v>0.2857142857142857</v>
      </c>
      <c r="K528" s="30">
        <f t="shared" si="82"/>
        <v>4.1228612657184085</v>
      </c>
      <c r="L528" s="30">
        <f t="shared" si="81"/>
        <v>20.614306328592043</v>
      </c>
    </row>
    <row r="529" spans="3:16">
      <c r="E529" s="163" t="s">
        <v>1127</v>
      </c>
      <c r="G529" s="64">
        <v>10</v>
      </c>
      <c r="J529" s="18">
        <v>0</v>
      </c>
      <c r="K529" s="30">
        <f t="shared" si="82"/>
        <v>0</v>
      </c>
      <c r="L529" s="30">
        <f t="shared" si="81"/>
        <v>0</v>
      </c>
      <c r="P529" s="14">
        <f>G529*11/100</f>
        <v>1.1000000000000001</v>
      </c>
    </row>
    <row r="530" spans="3:16">
      <c r="E530" s="163" t="s">
        <v>1198</v>
      </c>
      <c r="G530" s="64">
        <v>10</v>
      </c>
      <c r="H530" s="10" t="s">
        <v>15</v>
      </c>
      <c r="I530" s="10">
        <v>2</v>
      </c>
      <c r="J530" s="18">
        <f>G530/30</f>
        <v>0.33333333333333331</v>
      </c>
      <c r="K530" s="30">
        <f t="shared" si="82"/>
        <v>4.8100048100048101</v>
      </c>
      <c r="L530" s="30">
        <f t="shared" si="81"/>
        <v>9.6200096200096201</v>
      </c>
    </row>
    <row r="531" spans="3:16">
      <c r="C531" s="159"/>
      <c r="E531" s="163" t="s">
        <v>1117</v>
      </c>
      <c r="G531" s="64">
        <v>10</v>
      </c>
      <c r="H531" s="10" t="s">
        <v>14</v>
      </c>
      <c r="I531" s="9">
        <v>5</v>
      </c>
      <c r="J531" s="18">
        <f>G531/40</f>
        <v>0.25</v>
      </c>
      <c r="K531" s="30">
        <f t="shared" si="82"/>
        <v>3.6075036075036078</v>
      </c>
      <c r="L531" s="30">
        <f t="shared" si="81"/>
        <v>18.037518037518041</v>
      </c>
    </row>
    <row r="532" spans="3:16">
      <c r="E532" s="163" t="s">
        <v>1170</v>
      </c>
      <c r="G532" s="64">
        <v>10</v>
      </c>
      <c r="H532" s="10" t="s">
        <v>17</v>
      </c>
      <c r="I532" s="9">
        <v>1</v>
      </c>
      <c r="J532" s="18">
        <f>G532/40</f>
        <v>0.25</v>
      </c>
      <c r="K532" s="30">
        <f t="shared" si="82"/>
        <v>3.6075036075036078</v>
      </c>
      <c r="L532" s="30">
        <f t="shared" si="81"/>
        <v>3.6075036075036078</v>
      </c>
    </row>
    <row r="533" spans="3:16">
      <c r="E533" s="161" t="s">
        <v>1125</v>
      </c>
      <c r="G533" s="64">
        <v>20</v>
      </c>
      <c r="H533" s="10" t="s">
        <v>14</v>
      </c>
      <c r="I533" s="9">
        <v>5</v>
      </c>
      <c r="J533" s="18">
        <f>G533/70</f>
        <v>0.2857142857142857</v>
      </c>
      <c r="K533" s="30">
        <f t="shared" si="82"/>
        <v>4.1228612657184085</v>
      </c>
      <c r="L533" s="30">
        <f t="shared" si="81"/>
        <v>20.614306328592043</v>
      </c>
    </row>
    <row r="534" spans="3:16">
      <c r="E534" s="163" t="s">
        <v>1184</v>
      </c>
      <c r="G534" s="64">
        <v>20</v>
      </c>
      <c r="J534" s="18">
        <v>0</v>
      </c>
      <c r="K534" s="30">
        <f t="shared" si="82"/>
        <v>0</v>
      </c>
      <c r="L534" s="30">
        <f t="shared" si="81"/>
        <v>0</v>
      </c>
    </row>
    <row r="535" spans="3:16">
      <c r="E535" s="163" t="s">
        <v>1232</v>
      </c>
      <c r="G535" s="64">
        <v>30</v>
      </c>
      <c r="H535" s="10" t="s">
        <v>17</v>
      </c>
      <c r="I535" s="9">
        <v>1</v>
      </c>
      <c r="J535" s="18">
        <f>G535/40</f>
        <v>0.75</v>
      </c>
      <c r="K535" s="30">
        <f t="shared" si="82"/>
        <v>10.822510822510822</v>
      </c>
      <c r="L535" s="30">
        <f t="shared" si="81"/>
        <v>10.822510822510822</v>
      </c>
    </row>
    <row r="536" spans="3:16">
      <c r="C536" s="166" t="s">
        <v>1068</v>
      </c>
      <c r="D536" s="162" t="s">
        <v>1310</v>
      </c>
      <c r="E536" s="163" t="s">
        <v>1139</v>
      </c>
      <c r="F536" s="29">
        <v>1500</v>
      </c>
      <c r="G536" s="64">
        <f>F536/20</f>
        <v>75</v>
      </c>
      <c r="H536" s="10" t="s">
        <v>23</v>
      </c>
      <c r="I536" s="10">
        <v>5</v>
      </c>
      <c r="J536" s="18">
        <f>G536/70</f>
        <v>1.0714285714285714</v>
      </c>
      <c r="K536" s="30">
        <f t="shared" si="82"/>
        <v>15.460729746444033</v>
      </c>
      <c r="L536" s="30">
        <f t="shared" si="81"/>
        <v>77.303648732220168</v>
      </c>
    </row>
    <row r="537" spans="3:16">
      <c r="E537" s="163" t="s">
        <v>1212</v>
      </c>
      <c r="F537" s="29">
        <v>24</v>
      </c>
      <c r="G537" s="64">
        <f t="shared" ref="G537:G543" si="83">F537/20</f>
        <v>1.2</v>
      </c>
      <c r="J537" s="18">
        <v>0</v>
      </c>
      <c r="K537" s="30">
        <f t="shared" si="82"/>
        <v>0</v>
      </c>
      <c r="L537" s="30">
        <f t="shared" si="81"/>
        <v>0</v>
      </c>
      <c r="P537" s="20">
        <v>1.2</v>
      </c>
    </row>
    <row r="538" spans="3:16">
      <c r="E538" s="163" t="s">
        <v>1217</v>
      </c>
      <c r="F538" s="29">
        <v>6</v>
      </c>
      <c r="G538" s="64">
        <f t="shared" si="83"/>
        <v>0.3</v>
      </c>
      <c r="J538" s="18">
        <v>0</v>
      </c>
      <c r="K538" s="30">
        <f t="shared" si="82"/>
        <v>0</v>
      </c>
      <c r="L538" s="30">
        <f t="shared" si="81"/>
        <v>0</v>
      </c>
    </row>
    <row r="539" spans="3:16">
      <c r="E539" s="163" t="s">
        <v>1145</v>
      </c>
      <c r="F539" s="29">
        <v>42</v>
      </c>
      <c r="G539" s="64">
        <f t="shared" si="83"/>
        <v>2.1</v>
      </c>
      <c r="H539" s="10" t="s">
        <v>23</v>
      </c>
      <c r="I539" s="10">
        <v>5</v>
      </c>
      <c r="J539" s="18">
        <f>G539/70</f>
        <v>3.0000000000000002E-2</v>
      </c>
      <c r="K539" s="30">
        <f t="shared" si="82"/>
        <v>0.43290043290043301</v>
      </c>
      <c r="L539" s="30">
        <f t="shared" si="81"/>
        <v>2.1645021645021649</v>
      </c>
    </row>
    <row r="540" spans="3:16">
      <c r="E540" s="163" t="s">
        <v>1147</v>
      </c>
      <c r="F540" s="29">
        <v>60</v>
      </c>
      <c r="G540" s="64">
        <f t="shared" si="83"/>
        <v>3</v>
      </c>
      <c r="J540" s="18">
        <v>0</v>
      </c>
      <c r="K540" s="30">
        <f t="shared" si="82"/>
        <v>0</v>
      </c>
      <c r="L540" s="30">
        <f t="shared" si="81"/>
        <v>0</v>
      </c>
      <c r="P540" s="20">
        <f>G540*5/100</f>
        <v>0.15</v>
      </c>
    </row>
    <row r="541" spans="3:16">
      <c r="E541" s="163" t="s">
        <v>1119</v>
      </c>
      <c r="F541" s="29">
        <v>24</v>
      </c>
      <c r="G541" s="64">
        <f t="shared" si="83"/>
        <v>1.2</v>
      </c>
      <c r="H541" s="10" t="s">
        <v>16</v>
      </c>
      <c r="I541" s="10">
        <v>5</v>
      </c>
      <c r="J541" s="18">
        <f>G541/7</f>
        <v>0.17142857142857143</v>
      </c>
      <c r="K541" s="30">
        <f t="shared" si="82"/>
        <v>2.4737167594310452</v>
      </c>
      <c r="L541" s="30">
        <f t="shared" si="81"/>
        <v>12.368583797155226</v>
      </c>
    </row>
    <row r="542" spans="3:16">
      <c r="E542" s="163" t="s">
        <v>1144</v>
      </c>
      <c r="F542" s="29">
        <v>8</v>
      </c>
      <c r="G542" s="64">
        <f t="shared" si="83"/>
        <v>0.4</v>
      </c>
      <c r="H542" s="10" t="s">
        <v>23</v>
      </c>
      <c r="I542" s="10">
        <v>5</v>
      </c>
      <c r="J542" s="18">
        <f>G542/34</f>
        <v>1.1764705882352941E-2</v>
      </c>
      <c r="K542" s="30">
        <f t="shared" si="82"/>
        <v>0.16976487564722861</v>
      </c>
      <c r="L542" s="30">
        <f t="shared" si="81"/>
        <v>0.8488243782361431</v>
      </c>
    </row>
    <row r="543" spans="3:16">
      <c r="E543" s="163" t="s">
        <v>1157</v>
      </c>
      <c r="F543" s="29">
        <v>100</v>
      </c>
      <c r="G543" s="64">
        <f t="shared" si="83"/>
        <v>5</v>
      </c>
      <c r="H543" s="10" t="s">
        <v>14</v>
      </c>
      <c r="I543" s="10">
        <v>5</v>
      </c>
      <c r="J543" s="18">
        <f>G543/40</f>
        <v>0.125</v>
      </c>
      <c r="K543" s="30">
        <f t="shared" si="82"/>
        <v>1.8037518037518039</v>
      </c>
      <c r="L543" s="30">
        <f t="shared" si="81"/>
        <v>9.0187590187590203</v>
      </c>
    </row>
    <row r="544" spans="3:16">
      <c r="D544" s="29"/>
      <c r="E544" s="163" t="s">
        <v>1140</v>
      </c>
      <c r="F544" s="29">
        <v>100</v>
      </c>
      <c r="G544" s="64">
        <f>F544/20</f>
        <v>5</v>
      </c>
      <c r="H544" s="10" t="s">
        <v>23</v>
      </c>
      <c r="I544" s="10">
        <v>5</v>
      </c>
      <c r="J544" s="18">
        <f>G544/70</f>
        <v>7.1428571428571425E-2</v>
      </c>
      <c r="K544" s="30">
        <f t="shared" si="82"/>
        <v>1.0307153164296021</v>
      </c>
      <c r="L544" s="30">
        <f t="shared" si="81"/>
        <v>5.1535765821480108</v>
      </c>
    </row>
    <row r="545" spans="1:17" ht="17.25" thickBot="1">
      <c r="A545" s="37"/>
      <c r="B545" s="37"/>
      <c r="C545" s="37"/>
      <c r="D545" s="40"/>
      <c r="E545" s="165"/>
      <c r="F545" s="37"/>
      <c r="G545" s="68"/>
      <c r="H545" s="37"/>
      <c r="I545" s="39"/>
      <c r="J545" s="26">
        <f>SUM(J525:J544)</f>
        <v>6.9343197876165386</v>
      </c>
      <c r="K545" s="38">
        <f>SUM(K525:K544)</f>
        <v>100.06233459764127</v>
      </c>
      <c r="L545" s="38"/>
      <c r="M545" s="38">
        <f>SUM(L525:L544)</f>
        <v>298.29147096800421</v>
      </c>
      <c r="N545" s="37" t="s">
        <v>102</v>
      </c>
      <c r="O545" s="37" t="s">
        <v>103</v>
      </c>
      <c r="P545" s="27">
        <f>SUM(P525:P544)</f>
        <v>3.4499999999999997</v>
      </c>
      <c r="Q545" s="28"/>
    </row>
    <row r="547" spans="1:17">
      <c r="A547" s="6">
        <v>22</v>
      </c>
      <c r="B547" s="7" t="s">
        <v>104</v>
      </c>
      <c r="C547" s="163" t="s">
        <v>1233</v>
      </c>
      <c r="E547" s="163" t="s">
        <v>1233</v>
      </c>
      <c r="G547" s="64">
        <v>35</v>
      </c>
      <c r="H547" s="10" t="s">
        <v>15</v>
      </c>
      <c r="I547" s="10">
        <v>2</v>
      </c>
      <c r="J547" s="13">
        <f>G547/35</f>
        <v>1</v>
      </c>
      <c r="K547" s="30">
        <f>J547/7.92*100</f>
        <v>12.626262626262626</v>
      </c>
      <c r="L547" s="30">
        <f>K547*I547</f>
        <v>25.252525252525253</v>
      </c>
    </row>
    <row r="548" spans="1:17">
      <c r="A548" s="6"/>
      <c r="B548" s="7"/>
      <c r="C548" s="163" t="s">
        <v>1092</v>
      </c>
      <c r="D548" s="162" t="s">
        <v>1366</v>
      </c>
      <c r="E548" s="163" t="s">
        <v>1234</v>
      </c>
      <c r="G548" s="64">
        <v>20</v>
      </c>
      <c r="H548" s="10" t="s">
        <v>15</v>
      </c>
      <c r="I548" s="10">
        <v>2</v>
      </c>
      <c r="J548" s="13">
        <f>G548/22.6</f>
        <v>0.88495575221238931</v>
      </c>
      <c r="K548" s="30">
        <f t="shared" ref="K548:K556" si="84">J548/7.92*100</f>
        <v>11.17368374005542</v>
      </c>
      <c r="L548" s="30">
        <f t="shared" ref="L548:L556" si="85">K548*I548</f>
        <v>22.34736748011084</v>
      </c>
      <c r="P548" s="20">
        <f>G548*7.6/100</f>
        <v>1.52</v>
      </c>
    </row>
    <row r="549" spans="1:17">
      <c r="A549" s="6"/>
      <c r="C549" s="163" t="s">
        <v>1093</v>
      </c>
      <c r="E549" s="163" t="s">
        <v>1235</v>
      </c>
      <c r="G549" s="64">
        <v>150</v>
      </c>
      <c r="H549" s="10" t="s">
        <v>17</v>
      </c>
      <c r="I549" s="9">
        <v>1</v>
      </c>
      <c r="J549" s="13">
        <f>G549/40</f>
        <v>3.75</v>
      </c>
      <c r="K549" s="30">
        <f t="shared" si="84"/>
        <v>47.348484848484851</v>
      </c>
      <c r="L549" s="30">
        <f t="shared" si="85"/>
        <v>47.348484848484851</v>
      </c>
    </row>
    <row r="550" spans="1:17">
      <c r="A550" s="6"/>
      <c r="E550" s="163" t="s">
        <v>1133</v>
      </c>
      <c r="G550" s="64">
        <v>0.3</v>
      </c>
      <c r="H550" s="10"/>
      <c r="I550" s="9"/>
      <c r="J550" s="13">
        <v>0</v>
      </c>
      <c r="K550" s="30">
        <f t="shared" si="84"/>
        <v>0</v>
      </c>
      <c r="L550" s="30">
        <f t="shared" si="85"/>
        <v>0</v>
      </c>
      <c r="P550" s="20">
        <v>0.3</v>
      </c>
    </row>
    <row r="551" spans="1:17">
      <c r="A551" s="6"/>
      <c r="C551" s="29" t="s">
        <v>1096</v>
      </c>
      <c r="E551" s="163" t="s">
        <v>1126</v>
      </c>
      <c r="G551" s="64">
        <v>140</v>
      </c>
      <c r="H551" s="10" t="s">
        <v>32</v>
      </c>
      <c r="I551" s="9">
        <v>2</v>
      </c>
      <c r="J551" s="13">
        <f>G551/140</f>
        <v>1</v>
      </c>
      <c r="K551" s="30">
        <f t="shared" si="84"/>
        <v>12.626262626262626</v>
      </c>
      <c r="L551" s="30">
        <f t="shared" si="85"/>
        <v>25.252525252525253</v>
      </c>
    </row>
    <row r="552" spans="1:17">
      <c r="A552" s="6"/>
      <c r="C552" s="163" t="s">
        <v>1094</v>
      </c>
      <c r="E552" s="163" t="s">
        <v>1056</v>
      </c>
      <c r="G552" s="64">
        <v>70</v>
      </c>
      <c r="H552" s="10" t="s">
        <v>56</v>
      </c>
      <c r="I552" s="9">
        <v>5</v>
      </c>
      <c r="J552" s="13">
        <f>G552/70</f>
        <v>1</v>
      </c>
      <c r="K552" s="30">
        <f t="shared" si="84"/>
        <v>12.626262626262626</v>
      </c>
      <c r="L552" s="30">
        <f t="shared" si="85"/>
        <v>63.131313131313135</v>
      </c>
    </row>
    <row r="553" spans="1:17">
      <c r="E553" s="163" t="s">
        <v>1236</v>
      </c>
      <c r="G553" s="64">
        <v>10</v>
      </c>
      <c r="H553" s="10" t="s">
        <v>22</v>
      </c>
      <c r="I553" s="9">
        <v>5</v>
      </c>
      <c r="J553" s="13">
        <f t="shared" ref="J553:J554" si="86">G553/70</f>
        <v>0.14285714285714285</v>
      </c>
      <c r="K553" s="30">
        <f t="shared" si="84"/>
        <v>1.8037518037518037</v>
      </c>
      <c r="L553" s="30">
        <f t="shared" si="85"/>
        <v>9.0187590187590185</v>
      </c>
    </row>
    <row r="554" spans="1:17">
      <c r="E554" s="163" t="s">
        <v>1192</v>
      </c>
      <c r="G554" s="64">
        <v>10</v>
      </c>
      <c r="H554" s="10" t="s">
        <v>26</v>
      </c>
      <c r="I554" s="9">
        <v>4</v>
      </c>
      <c r="J554" s="13">
        <f t="shared" si="86"/>
        <v>0.14285714285714285</v>
      </c>
      <c r="K554" s="30">
        <f t="shared" si="84"/>
        <v>1.8037518037518037</v>
      </c>
      <c r="L554" s="30">
        <f t="shared" si="85"/>
        <v>7.2150072150072146</v>
      </c>
    </row>
    <row r="555" spans="1:17">
      <c r="C555" s="163" t="s">
        <v>1095</v>
      </c>
      <c r="E555" s="163" t="s">
        <v>1151</v>
      </c>
      <c r="G555" s="64">
        <v>5</v>
      </c>
      <c r="J555" s="13">
        <v>0</v>
      </c>
      <c r="K555" s="30">
        <f t="shared" si="84"/>
        <v>0</v>
      </c>
      <c r="L555" s="30">
        <f t="shared" si="85"/>
        <v>0</v>
      </c>
      <c r="P555" s="20">
        <f>G555*14.6/100</f>
        <v>0.73</v>
      </c>
    </row>
    <row r="556" spans="1:17">
      <c r="C556" s="159"/>
      <c r="E556" s="163" t="s">
        <v>1237</v>
      </c>
      <c r="G556" s="64">
        <v>5</v>
      </c>
      <c r="J556" s="13">
        <v>0</v>
      </c>
      <c r="K556" s="30">
        <f t="shared" si="84"/>
        <v>0</v>
      </c>
      <c r="L556" s="30">
        <f t="shared" si="85"/>
        <v>0</v>
      </c>
      <c r="Q556" s="21">
        <v>5</v>
      </c>
    </row>
    <row r="557" spans="1:17" ht="17.25" thickBot="1">
      <c r="A557" s="37"/>
      <c r="B557" s="37"/>
      <c r="C557" s="37"/>
      <c r="D557" s="40"/>
      <c r="E557" s="165"/>
      <c r="F557" s="37"/>
      <c r="G557" s="68"/>
      <c r="H557" s="37"/>
      <c r="I557" s="39"/>
      <c r="J557" s="26">
        <f>SUM(J547:J556)</f>
        <v>7.9206700379266763</v>
      </c>
      <c r="K557" s="38">
        <f>SUM(K547:K556)</f>
        <v>100.00846007483177</v>
      </c>
      <c r="L557" s="38"/>
      <c r="M557" s="38">
        <f>SUM(L547:L556)</f>
        <v>199.56598219872558</v>
      </c>
      <c r="N557" s="37" t="s">
        <v>102</v>
      </c>
      <c r="O557" s="37" t="s">
        <v>105</v>
      </c>
      <c r="P557" s="27">
        <f>SUM(P547:P556)</f>
        <v>2.5499999999999998</v>
      </c>
      <c r="Q557" s="28"/>
    </row>
    <row r="559" spans="1:17">
      <c r="A559" s="6">
        <v>23</v>
      </c>
      <c r="B559" s="7" t="s">
        <v>106</v>
      </c>
      <c r="C559" s="163" t="s">
        <v>1097</v>
      </c>
      <c r="D559" s="162" t="s">
        <v>1366</v>
      </c>
      <c r="E559" s="163" t="s">
        <v>1238</v>
      </c>
      <c r="G559" s="64">
        <v>70</v>
      </c>
      <c r="H559" s="10" t="s">
        <v>15</v>
      </c>
      <c r="I559" s="10">
        <v>2</v>
      </c>
      <c r="J559" s="13">
        <f>G559/35</f>
        <v>2</v>
      </c>
      <c r="K559" s="30">
        <f>J559/7*100</f>
        <v>28.571428571428569</v>
      </c>
      <c r="L559" s="30">
        <f>K559*I559</f>
        <v>57.142857142857139</v>
      </c>
    </row>
    <row r="560" spans="1:17">
      <c r="E560" s="163" t="s">
        <v>418</v>
      </c>
      <c r="G560" s="64">
        <v>55</v>
      </c>
      <c r="H560" s="10" t="s">
        <v>30</v>
      </c>
      <c r="I560" s="9">
        <v>2</v>
      </c>
      <c r="J560" s="13">
        <f>G560/55</f>
        <v>1</v>
      </c>
      <c r="K560" s="30">
        <f t="shared" ref="K560:K566" si="87">J560/7*100</f>
        <v>14.285714285714285</v>
      </c>
      <c r="L560" s="30">
        <f t="shared" ref="L560:L566" si="88">K560*I560</f>
        <v>28.571428571428569</v>
      </c>
    </row>
    <row r="561" spans="1:17">
      <c r="E561" s="163" t="s">
        <v>1129</v>
      </c>
      <c r="G561" s="64">
        <v>5</v>
      </c>
      <c r="H561" s="10"/>
      <c r="I561" s="9"/>
      <c r="J561" s="13">
        <v>0</v>
      </c>
      <c r="K561" s="30">
        <f t="shared" si="87"/>
        <v>0</v>
      </c>
      <c r="L561" s="30">
        <f t="shared" si="88"/>
        <v>0</v>
      </c>
      <c r="Q561" s="21">
        <v>5</v>
      </c>
    </row>
    <row r="562" spans="1:17">
      <c r="C562" s="159"/>
      <c r="E562" s="163" t="s">
        <v>1174</v>
      </c>
      <c r="G562" s="64">
        <v>70</v>
      </c>
      <c r="H562" s="10" t="s">
        <v>23</v>
      </c>
      <c r="I562" s="10">
        <v>5</v>
      </c>
      <c r="J562" s="13">
        <f>G562/70</f>
        <v>1</v>
      </c>
      <c r="K562" s="30">
        <f t="shared" si="87"/>
        <v>14.285714285714285</v>
      </c>
      <c r="L562" s="30">
        <f t="shared" si="88"/>
        <v>71.428571428571416</v>
      </c>
    </row>
    <row r="563" spans="1:17">
      <c r="E563" s="163" t="s">
        <v>1240</v>
      </c>
      <c r="G563" s="64">
        <v>40</v>
      </c>
      <c r="H563" s="10" t="s">
        <v>17</v>
      </c>
      <c r="I563" s="9">
        <v>1</v>
      </c>
      <c r="J563" s="13">
        <f>G563/40</f>
        <v>1</v>
      </c>
      <c r="K563" s="30">
        <f t="shared" si="87"/>
        <v>14.285714285714285</v>
      </c>
      <c r="L563" s="30">
        <f t="shared" si="88"/>
        <v>14.285714285714285</v>
      </c>
    </row>
    <row r="564" spans="1:17">
      <c r="E564" s="163" t="s">
        <v>1241</v>
      </c>
      <c r="G564" s="64">
        <v>16</v>
      </c>
      <c r="J564" s="13">
        <v>0</v>
      </c>
      <c r="K564" s="30">
        <f t="shared" si="87"/>
        <v>0</v>
      </c>
      <c r="L564" s="30">
        <f t="shared" si="88"/>
        <v>0</v>
      </c>
      <c r="P564" s="20">
        <f>G564*1.1/100</f>
        <v>0.17600000000000002</v>
      </c>
    </row>
    <row r="565" spans="1:17">
      <c r="E565" s="163" t="s">
        <v>1242</v>
      </c>
      <c r="G565" s="64">
        <v>30</v>
      </c>
      <c r="J565" s="13">
        <v>0</v>
      </c>
      <c r="K565" s="30">
        <f t="shared" si="87"/>
        <v>0</v>
      </c>
      <c r="L565" s="30">
        <f t="shared" si="88"/>
        <v>0</v>
      </c>
      <c r="P565" s="20">
        <f>G565*2.4/100</f>
        <v>0.72</v>
      </c>
    </row>
    <row r="566" spans="1:17">
      <c r="C566" s="163" t="s">
        <v>1098</v>
      </c>
      <c r="E566" s="163" t="s">
        <v>1098</v>
      </c>
      <c r="G566" s="64">
        <v>200</v>
      </c>
      <c r="H566" s="10" t="s">
        <v>18</v>
      </c>
      <c r="I566" s="9">
        <v>5</v>
      </c>
      <c r="J566" s="13">
        <f>G566/100</f>
        <v>2</v>
      </c>
      <c r="K566" s="30">
        <f t="shared" si="87"/>
        <v>28.571428571428569</v>
      </c>
      <c r="L566" s="30">
        <f t="shared" si="88"/>
        <v>142.85714285714283</v>
      </c>
    </row>
    <row r="567" spans="1:17" ht="17.25" thickBot="1">
      <c r="A567" s="37"/>
      <c r="B567" s="37"/>
      <c r="C567" s="37"/>
      <c r="D567" s="40"/>
      <c r="E567" s="165"/>
      <c r="F567" s="37"/>
      <c r="G567" s="68"/>
      <c r="H567" s="37"/>
      <c r="I567" s="39"/>
      <c r="J567" s="45">
        <f>SUM(J559:J566)</f>
        <v>7</v>
      </c>
      <c r="K567" s="38">
        <f>SUM(K559:K566)</f>
        <v>99.999999999999986</v>
      </c>
      <c r="L567" s="38"/>
      <c r="M567" s="38">
        <f>SUM(L559:L566)</f>
        <v>314.28571428571422</v>
      </c>
      <c r="N567" s="37"/>
      <c r="O567" s="37" t="s">
        <v>99</v>
      </c>
      <c r="P567" s="27">
        <f>SUM(P559:P566)</f>
        <v>0.89600000000000002</v>
      </c>
      <c r="Q567" s="28"/>
    </row>
    <row r="569" spans="1:17">
      <c r="A569" s="29">
        <v>24</v>
      </c>
      <c r="B569" s="7" t="s">
        <v>109</v>
      </c>
      <c r="C569" s="163" t="s">
        <v>1099</v>
      </c>
      <c r="D569" s="162" t="s">
        <v>1366</v>
      </c>
      <c r="E569" s="163" t="s">
        <v>1218</v>
      </c>
      <c r="G569" s="64">
        <v>100</v>
      </c>
      <c r="H569" s="10" t="s">
        <v>15</v>
      </c>
      <c r="I569" s="10">
        <v>2</v>
      </c>
      <c r="J569" s="13">
        <f>G569/30</f>
        <v>3.3333333333333335</v>
      </c>
      <c r="K569" s="30">
        <f>J569/7.38*100</f>
        <v>45.167118337850049</v>
      </c>
      <c r="L569" s="30">
        <f>K569*I569</f>
        <v>90.334236675700097</v>
      </c>
    </row>
    <row r="570" spans="1:17">
      <c r="E570" s="163" t="s">
        <v>1181</v>
      </c>
      <c r="G570" s="64">
        <v>35</v>
      </c>
      <c r="H570" s="10" t="s">
        <v>26</v>
      </c>
      <c r="I570" s="9">
        <v>4</v>
      </c>
      <c r="J570" s="13">
        <f>G570/70</f>
        <v>0.5</v>
      </c>
      <c r="K570" s="30">
        <f t="shared" ref="K570:K590" si="89">J570/7.38*100</f>
        <v>6.7750677506775077</v>
      </c>
      <c r="L570" s="30">
        <f t="shared" ref="L570:L590" si="90">K570*I570</f>
        <v>27.100271002710031</v>
      </c>
    </row>
    <row r="571" spans="1:17">
      <c r="E571" s="163" t="s">
        <v>1170</v>
      </c>
      <c r="G571" s="64">
        <v>20</v>
      </c>
      <c r="H571" s="10" t="s">
        <v>17</v>
      </c>
      <c r="I571" s="9">
        <v>1</v>
      </c>
      <c r="J571" s="13">
        <f>G571/40</f>
        <v>0.5</v>
      </c>
      <c r="K571" s="30">
        <f t="shared" si="89"/>
        <v>6.7750677506775077</v>
      </c>
      <c r="L571" s="30">
        <f t="shared" si="90"/>
        <v>6.7750677506775077</v>
      </c>
    </row>
    <row r="572" spans="1:17">
      <c r="E572" s="163" t="s">
        <v>418</v>
      </c>
      <c r="G572" s="64">
        <v>20</v>
      </c>
      <c r="H572" s="10" t="s">
        <v>30</v>
      </c>
      <c r="I572" s="9">
        <v>2</v>
      </c>
      <c r="J572" s="13">
        <f>G572/55</f>
        <v>0.36363636363636365</v>
      </c>
      <c r="K572" s="30">
        <f t="shared" si="89"/>
        <v>4.9273220004927323</v>
      </c>
      <c r="L572" s="30">
        <f t="shared" si="90"/>
        <v>9.8546440009854646</v>
      </c>
    </row>
    <row r="573" spans="1:17">
      <c r="C573" s="159"/>
      <c r="E573" s="163" t="s">
        <v>1151</v>
      </c>
      <c r="G573" s="64">
        <v>10</v>
      </c>
      <c r="J573" s="13">
        <v>0</v>
      </c>
      <c r="K573" s="30">
        <f t="shared" si="89"/>
        <v>0</v>
      </c>
      <c r="L573" s="30">
        <f t="shared" si="90"/>
        <v>0</v>
      </c>
      <c r="P573" s="20">
        <f>G573*14.6/100</f>
        <v>1.46</v>
      </c>
    </row>
    <row r="574" spans="1:17">
      <c r="E574" s="163" t="s">
        <v>1117</v>
      </c>
      <c r="G574" s="64">
        <v>5</v>
      </c>
      <c r="H574" s="10" t="s">
        <v>14</v>
      </c>
      <c r="I574" s="9">
        <v>5</v>
      </c>
      <c r="J574" s="13">
        <f>G574/40</f>
        <v>0.125</v>
      </c>
      <c r="K574" s="30">
        <f t="shared" si="89"/>
        <v>1.6937669376693769</v>
      </c>
      <c r="L574" s="30">
        <f t="shared" si="90"/>
        <v>8.4688346883468846</v>
      </c>
    </row>
    <row r="575" spans="1:17">
      <c r="E575" s="163" t="s">
        <v>1119</v>
      </c>
      <c r="G575" s="64">
        <v>1</v>
      </c>
      <c r="H575" s="10" t="s">
        <v>16</v>
      </c>
      <c r="I575" s="9">
        <v>5</v>
      </c>
      <c r="J575" s="13">
        <f>G575/7</f>
        <v>0.14285714285714285</v>
      </c>
      <c r="K575" s="30">
        <f t="shared" si="89"/>
        <v>1.9357336430507162</v>
      </c>
      <c r="L575" s="30">
        <f t="shared" si="90"/>
        <v>9.6786682152535803</v>
      </c>
    </row>
    <row r="576" spans="1:17">
      <c r="E576" s="163" t="s">
        <v>1131</v>
      </c>
      <c r="G576" s="64">
        <v>1</v>
      </c>
      <c r="H576" s="10" t="s">
        <v>29</v>
      </c>
      <c r="I576" s="9">
        <v>3</v>
      </c>
      <c r="J576" s="13">
        <f>G576/2</f>
        <v>0.5</v>
      </c>
      <c r="K576" s="30">
        <f t="shared" si="89"/>
        <v>6.7750677506775077</v>
      </c>
      <c r="L576" s="30">
        <f t="shared" si="90"/>
        <v>20.325203252032523</v>
      </c>
    </row>
    <row r="577" spans="1:17">
      <c r="E577" s="163" t="s">
        <v>1133</v>
      </c>
      <c r="G577" s="64">
        <v>0.2</v>
      </c>
      <c r="J577" s="13">
        <v>0</v>
      </c>
      <c r="K577" s="30">
        <f t="shared" si="89"/>
        <v>0</v>
      </c>
      <c r="L577" s="30">
        <f t="shared" si="90"/>
        <v>0</v>
      </c>
      <c r="P577" s="20">
        <v>0.2</v>
      </c>
    </row>
    <row r="578" spans="1:17">
      <c r="C578" s="163" t="s">
        <v>1049</v>
      </c>
      <c r="D578" s="162" t="s">
        <v>1310</v>
      </c>
      <c r="E578" s="162" t="s">
        <v>1138</v>
      </c>
      <c r="F578" s="31">
        <v>4800</v>
      </c>
      <c r="G578" s="66">
        <f>F578/60</f>
        <v>80</v>
      </c>
      <c r="H578" s="10" t="s">
        <v>22</v>
      </c>
      <c r="I578" s="9">
        <v>5</v>
      </c>
      <c r="J578" s="13">
        <f>G578/70</f>
        <v>1.1428571428571428</v>
      </c>
      <c r="K578" s="30">
        <f t="shared" si="89"/>
        <v>15.485869144405729</v>
      </c>
      <c r="L578" s="30">
        <f t="shared" si="90"/>
        <v>77.429345722028643</v>
      </c>
    </row>
    <row r="579" spans="1:17">
      <c r="D579" s="50"/>
      <c r="E579" s="162" t="s">
        <v>1139</v>
      </c>
      <c r="F579" s="31">
        <v>1000</v>
      </c>
      <c r="G579" s="66">
        <f t="shared" ref="G579:G586" si="91">F579/60</f>
        <v>16.666666666666668</v>
      </c>
      <c r="H579" s="10" t="s">
        <v>23</v>
      </c>
      <c r="I579" s="10">
        <v>5</v>
      </c>
      <c r="J579" s="13">
        <f>G579/70</f>
        <v>0.23809523809523811</v>
      </c>
      <c r="K579" s="30">
        <f t="shared" si="89"/>
        <v>3.2262227384178601</v>
      </c>
      <c r="L579" s="30">
        <f t="shared" si="90"/>
        <v>16.131113692089301</v>
      </c>
    </row>
    <row r="580" spans="1:17">
      <c r="D580" s="50"/>
      <c r="E580" s="162" t="s">
        <v>1140</v>
      </c>
      <c r="F580" s="31">
        <v>100</v>
      </c>
      <c r="G580" s="66">
        <f t="shared" si="91"/>
        <v>1.6666666666666667</v>
      </c>
      <c r="H580" s="10" t="s">
        <v>23</v>
      </c>
      <c r="I580" s="10">
        <v>5</v>
      </c>
      <c r="J580" s="13">
        <f>G580/70</f>
        <v>2.3809523809523812E-2</v>
      </c>
      <c r="K580" s="30">
        <f t="shared" si="89"/>
        <v>0.32262227384178604</v>
      </c>
      <c r="L580" s="30">
        <f t="shared" si="90"/>
        <v>1.6131113692089303</v>
      </c>
    </row>
    <row r="581" spans="1:17">
      <c r="D581" s="50"/>
      <c r="E581" s="162" t="s">
        <v>1277</v>
      </c>
      <c r="F581" s="31">
        <v>200</v>
      </c>
      <c r="G581" s="66">
        <f t="shared" si="91"/>
        <v>3.3333333333333335</v>
      </c>
      <c r="H581" s="10" t="s">
        <v>14</v>
      </c>
      <c r="I581" s="10">
        <v>5</v>
      </c>
      <c r="J581" s="13">
        <f>G581/40</f>
        <v>8.3333333333333343E-2</v>
      </c>
      <c r="K581" s="30">
        <f t="shared" si="89"/>
        <v>1.1291779584462514</v>
      </c>
      <c r="L581" s="30">
        <f t="shared" si="90"/>
        <v>5.645889792231257</v>
      </c>
    </row>
    <row r="582" spans="1:17">
      <c r="D582" s="50"/>
      <c r="E582" s="162" t="s">
        <v>1142</v>
      </c>
      <c r="F582" s="31">
        <v>200</v>
      </c>
      <c r="G582" s="66">
        <f t="shared" si="91"/>
        <v>3.3333333333333335</v>
      </c>
      <c r="H582" s="10" t="s">
        <v>23</v>
      </c>
      <c r="I582" s="10">
        <v>5</v>
      </c>
      <c r="J582" s="13">
        <f>G582/40</f>
        <v>8.3333333333333343E-2</v>
      </c>
      <c r="K582" s="30">
        <f t="shared" si="89"/>
        <v>1.1291779584462514</v>
      </c>
      <c r="L582" s="30">
        <f t="shared" si="90"/>
        <v>5.645889792231257</v>
      </c>
    </row>
    <row r="583" spans="1:17">
      <c r="D583" s="50"/>
      <c r="E583" s="162" t="s">
        <v>1143</v>
      </c>
      <c r="F583" s="31">
        <v>200</v>
      </c>
      <c r="G583" s="66">
        <f t="shared" si="91"/>
        <v>3.3333333333333335</v>
      </c>
      <c r="H583" s="10" t="s">
        <v>21</v>
      </c>
      <c r="I583" s="10">
        <v>4</v>
      </c>
      <c r="J583" s="13">
        <v>0.05</v>
      </c>
      <c r="K583" s="30">
        <f t="shared" si="89"/>
        <v>0.6775067750677507</v>
      </c>
      <c r="L583" s="30">
        <f t="shared" si="90"/>
        <v>2.7100271002710028</v>
      </c>
    </row>
    <row r="584" spans="1:17">
      <c r="D584" s="50"/>
      <c r="E584" s="162" t="s">
        <v>1116</v>
      </c>
      <c r="F584" s="31">
        <v>200</v>
      </c>
      <c r="G584" s="66">
        <f t="shared" si="91"/>
        <v>3.3333333333333335</v>
      </c>
      <c r="H584" s="10" t="s">
        <v>14</v>
      </c>
      <c r="I584" s="10">
        <v>5</v>
      </c>
      <c r="J584" s="13">
        <f>G584/40</f>
        <v>8.3333333333333343E-2</v>
      </c>
      <c r="K584" s="30">
        <f t="shared" si="89"/>
        <v>1.1291779584462514</v>
      </c>
      <c r="L584" s="30">
        <f t="shared" si="90"/>
        <v>5.645889792231257</v>
      </c>
    </row>
    <row r="585" spans="1:17">
      <c r="D585" s="50"/>
      <c r="E585" s="162" t="s">
        <v>1119</v>
      </c>
      <c r="F585" s="31">
        <v>80</v>
      </c>
      <c r="G585" s="66">
        <f t="shared" si="91"/>
        <v>1.3333333333333333</v>
      </c>
      <c r="H585" s="10" t="s">
        <v>16</v>
      </c>
      <c r="I585" s="10">
        <v>5</v>
      </c>
      <c r="J585" s="13">
        <f>G585/7</f>
        <v>0.19047619047619047</v>
      </c>
      <c r="K585" s="30">
        <f t="shared" si="89"/>
        <v>2.5809781907342884</v>
      </c>
      <c r="L585" s="30">
        <f t="shared" si="90"/>
        <v>12.904890953671442</v>
      </c>
    </row>
    <row r="586" spans="1:17">
      <c r="D586" s="50"/>
      <c r="E586" s="162" t="s">
        <v>1144</v>
      </c>
      <c r="F586" s="31">
        <v>36</v>
      </c>
      <c r="G586" s="66">
        <f t="shared" si="91"/>
        <v>0.6</v>
      </c>
      <c r="H586" s="10" t="s">
        <v>23</v>
      </c>
      <c r="I586" s="10">
        <v>5</v>
      </c>
      <c r="J586" s="13">
        <f>G586/34</f>
        <v>1.7647058823529412E-2</v>
      </c>
      <c r="K586" s="30">
        <f t="shared" si="89"/>
        <v>0.23912003825920614</v>
      </c>
      <c r="L586" s="30">
        <f t="shared" si="90"/>
        <v>1.1956001912960308</v>
      </c>
    </row>
    <row r="587" spans="1:17">
      <c r="D587" s="50"/>
      <c r="E587" s="162" t="s">
        <v>1145</v>
      </c>
      <c r="F587" s="31">
        <v>130</v>
      </c>
      <c r="G587" s="66">
        <f>F587/60</f>
        <v>2.1666666666666665</v>
      </c>
      <c r="H587" s="10" t="s">
        <v>23</v>
      </c>
      <c r="I587" s="10">
        <v>5</v>
      </c>
      <c r="J587" s="13">
        <v>0</v>
      </c>
      <c r="K587" s="30">
        <f t="shared" si="89"/>
        <v>0</v>
      </c>
      <c r="L587" s="30">
        <f t="shared" si="90"/>
        <v>0</v>
      </c>
    </row>
    <row r="588" spans="1:17">
      <c r="D588" s="50"/>
      <c r="E588" s="164" t="s">
        <v>1212</v>
      </c>
      <c r="F588" s="31"/>
      <c r="G588" s="66">
        <v>0.7</v>
      </c>
      <c r="J588" s="18">
        <v>0</v>
      </c>
      <c r="K588" s="30">
        <f t="shared" si="89"/>
        <v>0</v>
      </c>
      <c r="L588" s="30">
        <f t="shared" si="90"/>
        <v>0</v>
      </c>
      <c r="P588" s="20">
        <v>0.7</v>
      </c>
    </row>
    <row r="589" spans="1:17">
      <c r="D589" s="50"/>
      <c r="E589" s="162" t="s">
        <v>1146</v>
      </c>
      <c r="F589" s="31">
        <v>100</v>
      </c>
      <c r="G589" s="66">
        <f>F589/60</f>
        <v>1.6666666666666667</v>
      </c>
      <c r="J589" s="18">
        <v>0</v>
      </c>
      <c r="K589" s="30">
        <f t="shared" si="89"/>
        <v>0</v>
      </c>
      <c r="L589" s="30">
        <f t="shared" si="90"/>
        <v>0</v>
      </c>
      <c r="P589" s="20">
        <f>G589*22/100</f>
        <v>0.3666666666666667</v>
      </c>
    </row>
    <row r="590" spans="1:17">
      <c r="D590" s="50"/>
      <c r="E590" s="162" t="s">
        <v>1147</v>
      </c>
      <c r="F590" s="31">
        <v>100</v>
      </c>
      <c r="G590" s="66">
        <f>F590/60</f>
        <v>1.6666666666666667</v>
      </c>
      <c r="J590" s="18">
        <v>0</v>
      </c>
      <c r="K590" s="30">
        <f t="shared" si="89"/>
        <v>0</v>
      </c>
      <c r="L590" s="30">
        <f t="shared" si="90"/>
        <v>0</v>
      </c>
      <c r="P590" s="20">
        <f>5*G590/100</f>
        <v>8.3333333333333343E-2</v>
      </c>
    </row>
    <row r="591" spans="1:17" ht="17.25" thickBot="1">
      <c r="A591" s="37"/>
      <c r="B591" s="37"/>
      <c r="C591" s="37"/>
      <c r="D591" s="40"/>
      <c r="E591" s="165"/>
      <c r="F591" s="37"/>
      <c r="G591" s="68">
        <f>SUM(G578:G590)</f>
        <v>119.8</v>
      </c>
      <c r="H591" s="37"/>
      <c r="I591" s="39"/>
      <c r="J591" s="26">
        <f>SUM(J569:J590)</f>
        <v>7.3777119938884645</v>
      </c>
      <c r="K591" s="38">
        <f>SUM(K569:K590)</f>
        <v>99.968997207160754</v>
      </c>
      <c r="L591" s="38">
        <f t="shared" ref="L591" si="92">K591*I591</f>
        <v>0</v>
      </c>
      <c r="M591" s="38">
        <f>SUM(L569:L590)</f>
        <v>301.45868399096508</v>
      </c>
      <c r="N591" s="37" t="s">
        <v>111</v>
      </c>
      <c r="O591" s="37" t="s">
        <v>110</v>
      </c>
      <c r="P591" s="27">
        <f>SUM(P569:P590)</f>
        <v>2.81</v>
      </c>
      <c r="Q591" s="28"/>
    </row>
    <row r="593" spans="1:16">
      <c r="A593" s="29">
        <v>25</v>
      </c>
      <c r="B593" s="7" t="s">
        <v>112</v>
      </c>
      <c r="C593" s="163" t="s">
        <v>1114</v>
      </c>
      <c r="E593" s="163" t="s">
        <v>1114</v>
      </c>
      <c r="G593" s="64">
        <v>45</v>
      </c>
      <c r="H593" s="10" t="s">
        <v>15</v>
      </c>
      <c r="I593" s="10">
        <v>2</v>
      </c>
      <c r="J593" s="13">
        <f>G593/30</f>
        <v>1.5</v>
      </c>
      <c r="K593" s="30">
        <f>J593/8.07*100</f>
        <v>18.587360594795538</v>
      </c>
      <c r="L593" s="30">
        <f t="shared" ref="L593:L622" si="93">K593*I593</f>
        <v>37.174721189591075</v>
      </c>
    </row>
    <row r="594" spans="1:16">
      <c r="C594" s="29" t="s">
        <v>1100</v>
      </c>
      <c r="D594" s="25" t="s">
        <v>1314</v>
      </c>
      <c r="E594" s="163" t="s">
        <v>1133</v>
      </c>
      <c r="G594" s="64">
        <v>1</v>
      </c>
      <c r="J594" s="18">
        <v>0</v>
      </c>
      <c r="K594" s="30">
        <f t="shared" ref="K594:K622" si="94">J594/8.07*100</f>
        <v>0</v>
      </c>
      <c r="L594" s="30">
        <f t="shared" si="93"/>
        <v>0</v>
      </c>
      <c r="P594" s="20">
        <v>1</v>
      </c>
    </row>
    <row r="595" spans="1:16">
      <c r="E595" s="163" t="s">
        <v>1119</v>
      </c>
      <c r="G595" s="64">
        <v>2</v>
      </c>
      <c r="H595" s="10" t="s">
        <v>16</v>
      </c>
      <c r="I595" s="9">
        <v>5</v>
      </c>
      <c r="J595" s="18">
        <f>G595/7</f>
        <v>0.2857142857142857</v>
      </c>
      <c r="K595" s="30">
        <f t="shared" si="94"/>
        <v>3.5404496371039116</v>
      </c>
      <c r="L595" s="30">
        <f t="shared" si="93"/>
        <v>17.702248185519558</v>
      </c>
    </row>
    <row r="596" spans="1:16">
      <c r="E596" s="163" t="s">
        <v>1145</v>
      </c>
      <c r="G596" s="64">
        <v>5</v>
      </c>
      <c r="H596" s="10" t="s">
        <v>23</v>
      </c>
      <c r="I596" s="10">
        <v>5</v>
      </c>
      <c r="J596" s="13">
        <v>0</v>
      </c>
      <c r="K596" s="30">
        <f t="shared" si="94"/>
        <v>0</v>
      </c>
      <c r="L596" s="30">
        <f t="shared" si="93"/>
        <v>0</v>
      </c>
    </row>
    <row r="597" spans="1:16">
      <c r="E597" s="163" t="s">
        <v>1160</v>
      </c>
      <c r="G597" s="64">
        <v>5</v>
      </c>
      <c r="J597" s="18">
        <v>0</v>
      </c>
      <c r="K597" s="30">
        <f t="shared" si="94"/>
        <v>0</v>
      </c>
      <c r="L597" s="30">
        <f t="shared" si="93"/>
        <v>0</v>
      </c>
      <c r="P597" s="20">
        <f>G597*7/100</f>
        <v>0.35</v>
      </c>
    </row>
    <row r="598" spans="1:16">
      <c r="E598" s="163" t="s">
        <v>1117</v>
      </c>
      <c r="G598" s="64">
        <v>5</v>
      </c>
      <c r="H598" s="10" t="s">
        <v>14</v>
      </c>
      <c r="I598" s="10">
        <v>5</v>
      </c>
      <c r="J598" s="18">
        <f>G598/40</f>
        <v>0.125</v>
      </c>
      <c r="K598" s="30">
        <f t="shared" si="94"/>
        <v>1.5489467162329615</v>
      </c>
      <c r="L598" s="30">
        <f t="shared" si="93"/>
        <v>7.7447335811648079</v>
      </c>
    </row>
    <row r="599" spans="1:16">
      <c r="C599" s="159"/>
      <c r="E599" s="163" t="s">
        <v>1125</v>
      </c>
      <c r="G599" s="64">
        <v>10</v>
      </c>
      <c r="H599" s="10" t="s">
        <v>14</v>
      </c>
      <c r="I599" s="10">
        <v>5</v>
      </c>
      <c r="J599" s="18">
        <f>G599/70</f>
        <v>0.14285714285714285</v>
      </c>
      <c r="K599" s="30">
        <f t="shared" si="94"/>
        <v>1.7702248185519558</v>
      </c>
      <c r="L599" s="30">
        <f t="shared" si="93"/>
        <v>8.851124092759779</v>
      </c>
    </row>
    <row r="600" spans="1:16">
      <c r="E600" s="163" t="s">
        <v>1166</v>
      </c>
      <c r="G600" s="64">
        <v>20</v>
      </c>
      <c r="H600" s="10" t="s">
        <v>23</v>
      </c>
      <c r="I600" s="10">
        <v>5</v>
      </c>
      <c r="J600" s="18">
        <f>G600/70</f>
        <v>0.2857142857142857</v>
      </c>
      <c r="K600" s="30">
        <f t="shared" si="94"/>
        <v>3.5404496371039116</v>
      </c>
      <c r="L600" s="30">
        <f t="shared" si="93"/>
        <v>17.702248185519558</v>
      </c>
    </row>
    <row r="601" spans="1:16">
      <c r="E601" s="163" t="s">
        <v>1239</v>
      </c>
      <c r="G601" s="64">
        <v>30</v>
      </c>
      <c r="H601" s="10" t="s">
        <v>114</v>
      </c>
      <c r="I601" s="9">
        <v>1</v>
      </c>
      <c r="J601" s="18">
        <f>G601/40</f>
        <v>0.75</v>
      </c>
      <c r="K601" s="30">
        <f t="shared" si="94"/>
        <v>9.2936802973977688</v>
      </c>
      <c r="L601" s="30">
        <f t="shared" si="93"/>
        <v>9.2936802973977688</v>
      </c>
    </row>
    <row r="602" spans="1:16">
      <c r="E602" s="163" t="s">
        <v>1122</v>
      </c>
      <c r="G602" s="64">
        <v>30</v>
      </c>
      <c r="H602" s="10" t="s">
        <v>20</v>
      </c>
      <c r="I602" s="9">
        <v>4</v>
      </c>
      <c r="J602" s="18">
        <f>G602/80</f>
        <v>0.375</v>
      </c>
      <c r="K602" s="30">
        <f t="shared" si="94"/>
        <v>4.6468401486988844</v>
      </c>
      <c r="L602" s="30">
        <f t="shared" si="93"/>
        <v>18.587360594795538</v>
      </c>
    </row>
    <row r="603" spans="1:16">
      <c r="E603" s="163" t="s">
        <v>1200</v>
      </c>
      <c r="G603" s="64">
        <v>30</v>
      </c>
      <c r="H603" s="10" t="s">
        <v>17</v>
      </c>
      <c r="I603" s="9">
        <v>1</v>
      </c>
      <c r="J603" s="18">
        <f>G603/40</f>
        <v>0.75</v>
      </c>
      <c r="K603" s="30">
        <f t="shared" si="94"/>
        <v>9.2936802973977688</v>
      </c>
      <c r="L603" s="30">
        <f t="shared" si="93"/>
        <v>9.2936802973977688</v>
      </c>
    </row>
    <row r="604" spans="1:16">
      <c r="E604" s="163" t="s">
        <v>1243</v>
      </c>
      <c r="G604" s="64">
        <v>30</v>
      </c>
      <c r="H604" s="10" t="s">
        <v>114</v>
      </c>
      <c r="I604" s="9">
        <v>1</v>
      </c>
      <c r="J604" s="18">
        <f>G604/40</f>
        <v>0.75</v>
      </c>
      <c r="K604" s="30">
        <f t="shared" si="94"/>
        <v>9.2936802973977688</v>
      </c>
      <c r="L604" s="30">
        <f t="shared" si="93"/>
        <v>9.2936802973977688</v>
      </c>
    </row>
    <row r="605" spans="1:16">
      <c r="C605" s="29" t="s">
        <v>1102</v>
      </c>
      <c r="D605" s="29"/>
      <c r="E605" s="163" t="s">
        <v>1101</v>
      </c>
      <c r="G605" s="64">
        <v>25</v>
      </c>
      <c r="H605" s="10" t="s">
        <v>15</v>
      </c>
      <c r="I605" s="10">
        <v>2</v>
      </c>
      <c r="J605" s="18">
        <f>G605/30</f>
        <v>0.83333333333333337</v>
      </c>
      <c r="K605" s="30">
        <f t="shared" si="94"/>
        <v>10.326311441553077</v>
      </c>
      <c r="L605" s="30">
        <f t="shared" si="93"/>
        <v>20.652622883106154</v>
      </c>
      <c r="P605" s="20">
        <f>G605*1.3/100</f>
        <v>0.32500000000000001</v>
      </c>
    </row>
    <row r="606" spans="1:16">
      <c r="C606" s="163" t="s">
        <v>1049</v>
      </c>
      <c r="D606" s="162" t="s">
        <v>1310</v>
      </c>
      <c r="E606" s="162" t="s">
        <v>1138</v>
      </c>
      <c r="F606" s="31">
        <v>80</v>
      </c>
      <c r="G606" s="66">
        <f>F606*0.375</f>
        <v>30</v>
      </c>
      <c r="H606" s="10" t="s">
        <v>22</v>
      </c>
      <c r="I606" s="9">
        <v>5</v>
      </c>
      <c r="J606" s="13">
        <f>G606/70</f>
        <v>0.42857142857142855</v>
      </c>
      <c r="K606" s="30">
        <f t="shared" si="94"/>
        <v>5.3106744556558683</v>
      </c>
      <c r="L606" s="30">
        <f t="shared" si="93"/>
        <v>26.55337227827934</v>
      </c>
    </row>
    <row r="607" spans="1:16">
      <c r="D607" s="50"/>
      <c r="E607" s="162" t="s">
        <v>1139</v>
      </c>
      <c r="F607" s="31">
        <v>16.666666666666668</v>
      </c>
      <c r="G607" s="66">
        <f t="shared" ref="G607:G618" si="95">F607*0.375</f>
        <v>6.25</v>
      </c>
      <c r="H607" s="10" t="s">
        <v>23</v>
      </c>
      <c r="I607" s="10">
        <v>5</v>
      </c>
      <c r="J607" s="13">
        <f>G607/70</f>
        <v>8.9285714285714288E-2</v>
      </c>
      <c r="K607" s="30">
        <f t="shared" si="94"/>
        <v>1.1063905115949726</v>
      </c>
      <c r="L607" s="30">
        <f t="shared" si="93"/>
        <v>5.5319525579748632</v>
      </c>
    </row>
    <row r="608" spans="1:16">
      <c r="D608" s="50"/>
      <c r="E608" s="162" t="s">
        <v>1140</v>
      </c>
      <c r="F608" s="31">
        <v>1.6666666666666667</v>
      </c>
      <c r="G608" s="66">
        <f t="shared" si="95"/>
        <v>0.625</v>
      </c>
      <c r="H608" s="10" t="s">
        <v>23</v>
      </c>
      <c r="I608" s="10">
        <v>5</v>
      </c>
      <c r="J608" s="13">
        <f>G608/70</f>
        <v>8.9285714285714281E-3</v>
      </c>
      <c r="K608" s="30">
        <f t="shared" si="94"/>
        <v>0.11063905115949724</v>
      </c>
      <c r="L608" s="30">
        <f t="shared" si="93"/>
        <v>0.55319525579748619</v>
      </c>
    </row>
    <row r="609" spans="1:17">
      <c r="D609" s="50"/>
      <c r="E609" s="162" t="s">
        <v>1277</v>
      </c>
      <c r="F609" s="31">
        <v>3.3333333333333335</v>
      </c>
      <c r="G609" s="66">
        <f t="shared" si="95"/>
        <v>1.25</v>
      </c>
      <c r="H609" s="10" t="s">
        <v>14</v>
      </c>
      <c r="I609" s="10">
        <v>5</v>
      </c>
      <c r="J609" s="13">
        <f>G609/40</f>
        <v>3.125E-2</v>
      </c>
      <c r="K609" s="30">
        <f t="shared" si="94"/>
        <v>0.38723667905824039</v>
      </c>
      <c r="L609" s="30">
        <f t="shared" si="93"/>
        <v>1.936183395291202</v>
      </c>
    </row>
    <row r="610" spans="1:17">
      <c r="D610" s="50"/>
      <c r="E610" s="162" t="s">
        <v>1142</v>
      </c>
      <c r="F610" s="31">
        <v>3.3333333333333335</v>
      </c>
      <c r="G610" s="66">
        <f t="shared" si="95"/>
        <v>1.25</v>
      </c>
      <c r="H610" s="10" t="s">
        <v>23</v>
      </c>
      <c r="I610" s="10">
        <v>5</v>
      </c>
      <c r="J610" s="13">
        <f>G610/40</f>
        <v>3.125E-2</v>
      </c>
      <c r="K610" s="30">
        <f t="shared" si="94"/>
        <v>0.38723667905824039</v>
      </c>
      <c r="L610" s="30">
        <f t="shared" si="93"/>
        <v>1.936183395291202</v>
      </c>
    </row>
    <row r="611" spans="1:17">
      <c r="D611" s="50"/>
      <c r="E611" s="162" t="s">
        <v>1143</v>
      </c>
      <c r="F611" s="31">
        <v>3.3333333333333335</v>
      </c>
      <c r="G611" s="66">
        <f t="shared" si="95"/>
        <v>1.25</v>
      </c>
      <c r="H611" s="10" t="s">
        <v>21</v>
      </c>
      <c r="I611" s="10">
        <v>4</v>
      </c>
      <c r="J611" s="13">
        <v>0.05</v>
      </c>
      <c r="K611" s="30">
        <f t="shared" si="94"/>
        <v>0.6195786864931847</v>
      </c>
      <c r="L611" s="30">
        <f t="shared" si="93"/>
        <v>2.4783147459727388</v>
      </c>
    </row>
    <row r="612" spans="1:17">
      <c r="D612" s="50"/>
      <c r="E612" s="162" t="s">
        <v>1116</v>
      </c>
      <c r="F612" s="31">
        <v>3.3333333333333335</v>
      </c>
      <c r="G612" s="66">
        <f t="shared" si="95"/>
        <v>1.25</v>
      </c>
      <c r="H612" s="10" t="s">
        <v>14</v>
      </c>
      <c r="I612" s="10">
        <v>5</v>
      </c>
      <c r="J612" s="13">
        <f>G612/40</f>
        <v>3.125E-2</v>
      </c>
      <c r="K612" s="30">
        <f t="shared" si="94"/>
        <v>0.38723667905824039</v>
      </c>
      <c r="L612" s="30">
        <f t="shared" si="93"/>
        <v>1.936183395291202</v>
      </c>
    </row>
    <row r="613" spans="1:17">
      <c r="D613" s="32"/>
      <c r="E613" s="162" t="s">
        <v>1119</v>
      </c>
      <c r="F613" s="31">
        <v>1.3333333333333333</v>
      </c>
      <c r="G613" s="66">
        <f t="shared" si="95"/>
        <v>0.5</v>
      </c>
      <c r="H613" s="10" t="s">
        <v>16</v>
      </c>
      <c r="I613" s="10">
        <v>5</v>
      </c>
      <c r="J613" s="13">
        <f>G613/7</f>
        <v>7.1428571428571425E-2</v>
      </c>
      <c r="K613" s="30">
        <f t="shared" si="94"/>
        <v>0.8851124092759779</v>
      </c>
      <c r="L613" s="30">
        <f t="shared" si="93"/>
        <v>4.4255620463798895</v>
      </c>
    </row>
    <row r="614" spans="1:17">
      <c r="D614" s="50"/>
      <c r="E614" s="162" t="s">
        <v>1144</v>
      </c>
      <c r="F614" s="31">
        <v>0.6</v>
      </c>
      <c r="G614" s="66">
        <f t="shared" si="95"/>
        <v>0.22499999999999998</v>
      </c>
      <c r="H614" s="10" t="s">
        <v>23</v>
      </c>
      <c r="I614" s="10">
        <v>5</v>
      </c>
      <c r="J614" s="13">
        <f>G614/34</f>
        <v>6.6176470588235285E-3</v>
      </c>
      <c r="K614" s="30">
        <f t="shared" si="94"/>
        <v>8.2003061447627354E-2</v>
      </c>
      <c r="L614" s="30">
        <f t="shared" si="93"/>
        <v>0.41001530723813678</v>
      </c>
    </row>
    <row r="615" spans="1:17">
      <c r="D615" s="50"/>
      <c r="E615" s="162" t="s">
        <v>1145</v>
      </c>
      <c r="F615" s="31">
        <v>2.1666666666666665</v>
      </c>
      <c r="G615" s="66">
        <f t="shared" si="95"/>
        <v>0.8125</v>
      </c>
      <c r="H615" s="10"/>
      <c r="I615" s="10"/>
      <c r="J615" s="13">
        <v>0</v>
      </c>
      <c r="K615" s="30">
        <f t="shared" si="94"/>
        <v>0</v>
      </c>
      <c r="L615" s="30">
        <f t="shared" si="93"/>
        <v>0</v>
      </c>
    </row>
    <row r="616" spans="1:17">
      <c r="D616" s="50"/>
      <c r="E616" s="164" t="s">
        <v>1133</v>
      </c>
      <c r="F616" s="31">
        <v>0.7</v>
      </c>
      <c r="G616" s="66">
        <f t="shared" si="95"/>
        <v>0.26249999999999996</v>
      </c>
      <c r="J616" s="18">
        <v>0</v>
      </c>
      <c r="K616" s="30">
        <f t="shared" si="94"/>
        <v>0</v>
      </c>
      <c r="L616" s="30">
        <f t="shared" si="93"/>
        <v>0</v>
      </c>
      <c r="P616" s="20">
        <f>G616</f>
        <v>0.26249999999999996</v>
      </c>
    </row>
    <row r="617" spans="1:17">
      <c r="D617" s="50"/>
      <c r="E617" s="162" t="s">
        <v>1146</v>
      </c>
      <c r="F617" s="31">
        <v>1.6666666666666667</v>
      </c>
      <c r="G617" s="66">
        <f t="shared" si="95"/>
        <v>0.625</v>
      </c>
      <c r="J617" s="18">
        <v>0</v>
      </c>
      <c r="K617" s="30">
        <f t="shared" si="94"/>
        <v>0</v>
      </c>
      <c r="L617" s="30">
        <f t="shared" si="93"/>
        <v>0</v>
      </c>
      <c r="P617" s="20">
        <f>G617*22/100</f>
        <v>0.13750000000000001</v>
      </c>
    </row>
    <row r="618" spans="1:17">
      <c r="D618" s="50"/>
      <c r="E618" s="162" t="s">
        <v>1147</v>
      </c>
      <c r="F618" s="31">
        <v>1.6666666666666667</v>
      </c>
      <c r="G618" s="66">
        <f t="shared" si="95"/>
        <v>0.625</v>
      </c>
      <c r="J618" s="18">
        <v>0</v>
      </c>
      <c r="K618" s="30">
        <f t="shared" si="94"/>
        <v>0</v>
      </c>
      <c r="L618" s="30">
        <f t="shared" si="93"/>
        <v>0</v>
      </c>
      <c r="P618" s="20">
        <f>5*G618/100</f>
        <v>3.125E-2</v>
      </c>
    </row>
    <row r="619" spans="1:17">
      <c r="C619" s="163" t="s">
        <v>1103</v>
      </c>
      <c r="D619" s="50" t="s">
        <v>1314</v>
      </c>
      <c r="E619" s="163" t="s">
        <v>1244</v>
      </c>
      <c r="G619" s="64">
        <v>50</v>
      </c>
      <c r="H619" s="10" t="s">
        <v>15</v>
      </c>
      <c r="I619" s="10">
        <v>2</v>
      </c>
      <c r="J619" s="18">
        <f>G619/70</f>
        <v>0.7142857142857143</v>
      </c>
      <c r="K619" s="30">
        <f t="shared" si="94"/>
        <v>8.8511240927597807</v>
      </c>
      <c r="L619" s="30">
        <f t="shared" si="93"/>
        <v>17.702248185519561</v>
      </c>
      <c r="M619" s="30"/>
    </row>
    <row r="620" spans="1:17">
      <c r="E620" s="163" t="s">
        <v>1245</v>
      </c>
      <c r="G620" s="64">
        <v>10</v>
      </c>
      <c r="H620" s="10" t="s">
        <v>115</v>
      </c>
      <c r="I620" s="9">
        <v>5</v>
      </c>
      <c r="J620" s="18">
        <f>G620/15</f>
        <v>0.66666666666666663</v>
      </c>
      <c r="K620" s="30">
        <f t="shared" si="94"/>
        <v>8.2610491532424604</v>
      </c>
      <c r="L620" s="30">
        <f t="shared" si="93"/>
        <v>41.305245766212302</v>
      </c>
    </row>
    <row r="621" spans="1:17">
      <c r="E621" s="163" t="s">
        <v>1241</v>
      </c>
      <c r="G621" s="64">
        <v>13</v>
      </c>
      <c r="J621" s="18">
        <v>0</v>
      </c>
      <c r="K621" s="30">
        <f t="shared" si="94"/>
        <v>0</v>
      </c>
      <c r="L621" s="30">
        <f t="shared" si="93"/>
        <v>0</v>
      </c>
      <c r="P621" s="20">
        <f>1.1*G621/100</f>
        <v>0.14300000000000002</v>
      </c>
    </row>
    <row r="622" spans="1:17">
      <c r="E622" s="163" t="s">
        <v>1216</v>
      </c>
      <c r="G622" s="64">
        <v>10</v>
      </c>
      <c r="H622" s="10" t="s">
        <v>22</v>
      </c>
      <c r="I622" s="9">
        <v>5</v>
      </c>
      <c r="J622" s="13">
        <f>G622/70</f>
        <v>0.14285714285714285</v>
      </c>
      <c r="K622" s="30">
        <f t="shared" si="94"/>
        <v>1.7702248185519558</v>
      </c>
      <c r="L622" s="30">
        <f t="shared" si="93"/>
        <v>8.851124092759779</v>
      </c>
    </row>
    <row r="623" spans="1:17" ht="17.25" thickBot="1">
      <c r="A623" s="37"/>
      <c r="B623" s="37"/>
      <c r="C623" s="37"/>
      <c r="D623" s="40"/>
      <c r="E623" s="165"/>
      <c r="F623" s="37"/>
      <c r="G623" s="68"/>
      <c r="H623" s="37"/>
      <c r="I623" s="39"/>
      <c r="J623" s="26">
        <f>SUM(J593:J622)</f>
        <v>8.0700105042016794</v>
      </c>
      <c r="K623" s="38">
        <f>SUM(K593:K622)</f>
        <v>100.00013016358955</v>
      </c>
      <c r="L623" s="38"/>
      <c r="M623" s="38">
        <f>SUM(L593:L622)</f>
        <v>269.91568002665753</v>
      </c>
      <c r="N623" s="37" t="s">
        <v>111</v>
      </c>
      <c r="O623" s="37" t="s">
        <v>116</v>
      </c>
      <c r="P623" s="27">
        <f>SUM(P593:P622)</f>
        <v>2.24925</v>
      </c>
      <c r="Q623" s="28">
        <f>SUM(Q593:Q622)</f>
        <v>0</v>
      </c>
    </row>
    <row r="625" spans="1:17">
      <c r="A625" s="29">
        <v>26</v>
      </c>
      <c r="B625" s="7" t="s">
        <v>117</v>
      </c>
      <c r="C625" s="163" t="s">
        <v>1104</v>
      </c>
      <c r="D625" s="162" t="s">
        <v>1316</v>
      </c>
      <c r="E625" s="163" t="s">
        <v>1114</v>
      </c>
      <c r="G625" s="64">
        <v>92.26</v>
      </c>
      <c r="H625" s="10" t="s">
        <v>15</v>
      </c>
      <c r="I625" s="10">
        <v>2</v>
      </c>
      <c r="J625" s="13">
        <f>G625/70</f>
        <v>1.3180000000000001</v>
      </c>
      <c r="K625" s="30">
        <f>J625/4.33*100</f>
        <v>30.438799076212469</v>
      </c>
      <c r="L625" s="30">
        <f>K625*I625</f>
        <v>60.877598152424937</v>
      </c>
    </row>
    <row r="626" spans="1:17">
      <c r="D626" s="53"/>
      <c r="E626" s="163" t="s">
        <v>1225</v>
      </c>
      <c r="G626" s="64">
        <v>5.39</v>
      </c>
      <c r="H626" s="10" t="s">
        <v>21</v>
      </c>
      <c r="I626" s="9">
        <v>4</v>
      </c>
      <c r="J626" s="13">
        <f>G626/50</f>
        <v>0.10779999999999999</v>
      </c>
      <c r="K626" s="30">
        <f t="shared" ref="K626:K632" si="96">J626/4.33*100</f>
        <v>2.4896073903002307</v>
      </c>
      <c r="L626" s="30">
        <f t="shared" ref="L626:L632" si="97">K626*I626</f>
        <v>9.9584295612009228</v>
      </c>
    </row>
    <row r="627" spans="1:17">
      <c r="C627" s="159"/>
      <c r="E627" s="163" t="s">
        <v>1241</v>
      </c>
      <c r="G627" s="64">
        <v>4.07</v>
      </c>
      <c r="J627" s="18">
        <v>0</v>
      </c>
      <c r="K627" s="30">
        <f t="shared" si="96"/>
        <v>0</v>
      </c>
      <c r="L627" s="30">
        <f t="shared" si="97"/>
        <v>0</v>
      </c>
      <c r="P627" s="20">
        <f>1.1*G627/100</f>
        <v>4.4770000000000004E-2</v>
      </c>
    </row>
    <row r="628" spans="1:17">
      <c r="E628" s="163" t="s">
        <v>1131</v>
      </c>
      <c r="G628" s="64">
        <v>1.21</v>
      </c>
      <c r="H628" s="10" t="s">
        <v>29</v>
      </c>
      <c r="I628" s="9">
        <v>3</v>
      </c>
      <c r="J628" s="18">
        <f>G628/2</f>
        <v>0.60499999999999998</v>
      </c>
      <c r="K628" s="30">
        <f t="shared" si="96"/>
        <v>13.972286374133949</v>
      </c>
      <c r="L628" s="30">
        <f t="shared" si="97"/>
        <v>41.916859122401846</v>
      </c>
    </row>
    <row r="629" spans="1:17">
      <c r="E629" s="163" t="s">
        <v>1151</v>
      </c>
      <c r="G629" s="64">
        <v>10.130000000000001</v>
      </c>
      <c r="J629" s="18">
        <v>0</v>
      </c>
      <c r="K629" s="30">
        <f t="shared" si="96"/>
        <v>0</v>
      </c>
      <c r="L629" s="30">
        <f t="shared" si="97"/>
        <v>0</v>
      </c>
      <c r="P629" s="20">
        <f>G629*14.6/100</f>
        <v>1.47898</v>
      </c>
    </row>
    <row r="630" spans="1:17">
      <c r="C630" s="163" t="s">
        <v>1105</v>
      </c>
      <c r="D630" s="162" t="s">
        <v>1311</v>
      </c>
      <c r="E630" s="163" t="s">
        <v>1101</v>
      </c>
      <c r="G630" s="64">
        <v>69</v>
      </c>
      <c r="H630" s="10" t="s">
        <v>15</v>
      </c>
      <c r="I630" s="10">
        <v>2</v>
      </c>
      <c r="J630" s="18">
        <f>G630/30</f>
        <v>2.2999999999999998</v>
      </c>
      <c r="K630" s="30">
        <f t="shared" si="96"/>
        <v>53.11778290993071</v>
      </c>
      <c r="L630" s="30">
        <f t="shared" si="97"/>
        <v>106.23556581986142</v>
      </c>
    </row>
    <row r="631" spans="1:17">
      <c r="E631" s="163" t="s">
        <v>1133</v>
      </c>
      <c r="G631" s="64">
        <v>3.98</v>
      </c>
      <c r="J631" s="18">
        <v>0</v>
      </c>
      <c r="K631" s="30">
        <f t="shared" si="96"/>
        <v>0</v>
      </c>
      <c r="L631" s="30">
        <f t="shared" si="97"/>
        <v>0</v>
      </c>
      <c r="P631" s="20">
        <v>3.9750000000000001</v>
      </c>
    </row>
    <row r="632" spans="1:17">
      <c r="E632" s="163" t="s">
        <v>1246</v>
      </c>
      <c r="J632" s="18">
        <v>0</v>
      </c>
      <c r="K632" s="30">
        <f t="shared" si="96"/>
        <v>0</v>
      </c>
      <c r="L632" s="30">
        <f t="shared" si="97"/>
        <v>0</v>
      </c>
      <c r="Q632" s="21">
        <v>15</v>
      </c>
    </row>
    <row r="633" spans="1:17" ht="17.25" thickBot="1">
      <c r="A633" s="37"/>
      <c r="B633" s="37"/>
      <c r="C633" s="37"/>
      <c r="D633" s="40"/>
      <c r="E633" s="165"/>
      <c r="F633" s="37"/>
      <c r="G633" s="68"/>
      <c r="H633" s="37"/>
      <c r="I633" s="39"/>
      <c r="J633" s="26">
        <f>SUM(J625:J632)</f>
        <v>4.3308</v>
      </c>
      <c r="K633" s="38">
        <f>SUM(K625:K632)</f>
        <v>100.01847575057735</v>
      </c>
      <c r="L633" s="38"/>
      <c r="M633" s="38">
        <f>SUM(L625:L632)</f>
        <v>218.98845265588915</v>
      </c>
      <c r="N633" s="37" t="s">
        <v>36</v>
      </c>
      <c r="O633" s="37" t="s">
        <v>118</v>
      </c>
      <c r="P633" s="27">
        <f>SUM(P625:P632)</f>
        <v>5.4987500000000002</v>
      </c>
      <c r="Q633" s="28">
        <f>SUM(Q625:Q632)</f>
        <v>15</v>
      </c>
    </row>
    <row r="635" spans="1:17">
      <c r="A635" s="29">
        <v>27</v>
      </c>
      <c r="B635" s="7" t="s">
        <v>119</v>
      </c>
      <c r="C635" s="163" t="s">
        <v>1106</v>
      </c>
      <c r="D635" s="53" t="s">
        <v>1315</v>
      </c>
      <c r="E635" s="163" t="s">
        <v>1114</v>
      </c>
      <c r="G635" s="64">
        <v>250</v>
      </c>
      <c r="H635" s="10" t="s">
        <v>15</v>
      </c>
      <c r="I635" s="10">
        <v>2</v>
      </c>
      <c r="J635" s="13">
        <f>G635/70</f>
        <v>3.5714285714285716</v>
      </c>
      <c r="K635" s="30">
        <f>J635/8.59*100</f>
        <v>41.576584067852991</v>
      </c>
      <c r="L635" s="30">
        <f>K635*I635</f>
        <v>83.153168135705982</v>
      </c>
    </row>
    <row r="636" spans="1:17" s="54" customFormat="1">
      <c r="E636" s="163" t="s">
        <v>1200</v>
      </c>
      <c r="F636" s="29"/>
      <c r="G636" s="64">
        <v>20</v>
      </c>
      <c r="H636" s="10" t="s">
        <v>21</v>
      </c>
      <c r="I636" s="9">
        <v>4</v>
      </c>
      <c r="J636" s="13">
        <f>G636/40</f>
        <v>0.5</v>
      </c>
      <c r="K636" s="30">
        <f t="shared" ref="K636:K659" si="98">J636/8.59*100</f>
        <v>5.8207217694994178</v>
      </c>
      <c r="L636" s="30">
        <f t="shared" ref="L636:L659" si="99">K636*I636</f>
        <v>23.282887077997671</v>
      </c>
      <c r="P636" s="55"/>
      <c r="Q636" s="56"/>
    </row>
    <row r="637" spans="1:17" s="54" customFormat="1">
      <c r="E637" s="163" t="s">
        <v>418</v>
      </c>
      <c r="F637" s="29"/>
      <c r="G637" s="64">
        <v>55</v>
      </c>
      <c r="H637" s="10" t="s">
        <v>30</v>
      </c>
      <c r="I637" s="9">
        <v>2</v>
      </c>
      <c r="J637" s="13">
        <f>G637/55</f>
        <v>1</v>
      </c>
      <c r="K637" s="30">
        <f t="shared" si="98"/>
        <v>11.641443538998836</v>
      </c>
      <c r="L637" s="30">
        <f t="shared" si="99"/>
        <v>23.282887077997671</v>
      </c>
      <c r="P637" s="55"/>
      <c r="Q637" s="56"/>
    </row>
    <row r="638" spans="1:17">
      <c r="D638" s="53"/>
      <c r="E638" s="163" t="s">
        <v>1192</v>
      </c>
      <c r="G638" s="64">
        <v>25</v>
      </c>
      <c r="H638" s="10" t="s">
        <v>26</v>
      </c>
      <c r="I638" s="9">
        <v>4</v>
      </c>
      <c r="J638" s="13">
        <f>G638/70</f>
        <v>0.35714285714285715</v>
      </c>
      <c r="K638" s="30">
        <f t="shared" si="98"/>
        <v>4.1576584067852984</v>
      </c>
      <c r="L638" s="30">
        <f t="shared" si="99"/>
        <v>16.630633627141194</v>
      </c>
    </row>
    <row r="639" spans="1:17">
      <c r="D639" s="53"/>
      <c r="E639" s="163" t="s">
        <v>1117</v>
      </c>
      <c r="G639" s="64">
        <v>25</v>
      </c>
      <c r="H639" s="10" t="s">
        <v>14</v>
      </c>
      <c r="I639" s="9">
        <v>5</v>
      </c>
      <c r="J639" s="13">
        <f>G639/40</f>
        <v>0.625</v>
      </c>
      <c r="K639" s="30">
        <f t="shared" si="98"/>
        <v>7.2759022118742731</v>
      </c>
      <c r="L639" s="30">
        <f t="shared" si="99"/>
        <v>36.379511059371367</v>
      </c>
    </row>
    <row r="640" spans="1:17">
      <c r="C640" s="159"/>
      <c r="D640" s="53"/>
      <c r="E640" s="163" t="s">
        <v>1125</v>
      </c>
      <c r="G640" s="64">
        <v>25</v>
      </c>
      <c r="H640" s="10" t="s">
        <v>14</v>
      </c>
      <c r="I640" s="9">
        <v>5</v>
      </c>
      <c r="J640" s="13">
        <f t="shared" ref="J640:J657" si="100">G640/70</f>
        <v>0.35714285714285715</v>
      </c>
      <c r="K640" s="30">
        <f t="shared" si="98"/>
        <v>4.1576584067852984</v>
      </c>
      <c r="L640" s="30">
        <f t="shared" si="99"/>
        <v>20.788292033926492</v>
      </c>
    </row>
    <row r="641" spans="3:17" s="54" customFormat="1">
      <c r="E641" s="163" t="s">
        <v>1252</v>
      </c>
      <c r="F641" s="29"/>
      <c r="G641" s="64">
        <v>25</v>
      </c>
      <c r="H641" s="10" t="s">
        <v>23</v>
      </c>
      <c r="I641" s="9">
        <v>5</v>
      </c>
      <c r="J641" s="13">
        <f t="shared" si="100"/>
        <v>0.35714285714285715</v>
      </c>
      <c r="K641" s="30">
        <f t="shared" si="98"/>
        <v>4.1576584067852984</v>
      </c>
      <c r="L641" s="30">
        <f t="shared" si="99"/>
        <v>20.788292033926492</v>
      </c>
      <c r="P641" s="55"/>
      <c r="Q641" s="56"/>
    </row>
    <row r="642" spans="3:17">
      <c r="D642" s="53"/>
      <c r="E642" s="163" t="s">
        <v>1129</v>
      </c>
      <c r="G642" s="64">
        <v>25</v>
      </c>
      <c r="J642" s="13">
        <v>0</v>
      </c>
      <c r="K642" s="30">
        <f t="shared" si="98"/>
        <v>0</v>
      </c>
      <c r="L642" s="30">
        <f t="shared" si="99"/>
        <v>0</v>
      </c>
      <c r="Q642" s="21">
        <v>20</v>
      </c>
    </row>
    <row r="643" spans="3:17">
      <c r="D643" s="53"/>
      <c r="E643" s="163" t="s">
        <v>1133</v>
      </c>
      <c r="G643" s="64">
        <v>1.5</v>
      </c>
      <c r="J643" s="13">
        <v>0</v>
      </c>
      <c r="K643" s="30">
        <f t="shared" si="98"/>
        <v>0</v>
      </c>
      <c r="L643" s="30">
        <f t="shared" si="99"/>
        <v>0</v>
      </c>
      <c r="P643" s="20">
        <v>1.5</v>
      </c>
    </row>
    <row r="644" spans="3:17">
      <c r="C644" s="163" t="s">
        <v>1107</v>
      </c>
      <c r="D644" s="53" t="s">
        <v>1314</v>
      </c>
      <c r="E644" s="163" t="s">
        <v>1247</v>
      </c>
      <c r="G644" s="64">
        <v>9</v>
      </c>
      <c r="H644" s="10" t="s">
        <v>21</v>
      </c>
      <c r="I644" s="9">
        <v>4</v>
      </c>
      <c r="J644" s="13">
        <f>G644/50</f>
        <v>0.18</v>
      </c>
      <c r="K644" s="30">
        <f t="shared" si="98"/>
        <v>2.0954598370197903</v>
      </c>
      <c r="L644" s="30">
        <f t="shared" si="99"/>
        <v>8.3818393480791613</v>
      </c>
    </row>
    <row r="645" spans="3:17">
      <c r="D645" s="53"/>
      <c r="E645" s="163" t="s">
        <v>1248</v>
      </c>
      <c r="G645" s="64">
        <v>3</v>
      </c>
      <c r="H645" s="10" t="s">
        <v>21</v>
      </c>
      <c r="I645" s="9">
        <v>4</v>
      </c>
      <c r="J645" s="13">
        <f t="shared" si="100"/>
        <v>4.2857142857142858E-2</v>
      </c>
      <c r="K645" s="30">
        <f t="shared" si="98"/>
        <v>0.49891900881423579</v>
      </c>
      <c r="L645" s="30">
        <f t="shared" si="99"/>
        <v>1.9956760352569431</v>
      </c>
    </row>
    <row r="646" spans="3:17">
      <c r="D646" s="53"/>
      <c r="E646" s="163" t="s">
        <v>1249</v>
      </c>
      <c r="G646" s="64">
        <v>3</v>
      </c>
      <c r="H646" s="10" t="s">
        <v>21</v>
      </c>
      <c r="I646" s="9">
        <v>4</v>
      </c>
      <c r="J646" s="13">
        <f t="shared" si="100"/>
        <v>4.2857142857142858E-2</v>
      </c>
      <c r="K646" s="30">
        <f t="shared" si="98"/>
        <v>0.49891900881423579</v>
      </c>
      <c r="L646" s="30">
        <f t="shared" si="99"/>
        <v>1.9956760352569431</v>
      </c>
    </row>
    <row r="647" spans="3:17">
      <c r="D647" s="53"/>
      <c r="E647" s="163" t="s">
        <v>1200</v>
      </c>
      <c r="G647" s="64">
        <v>6</v>
      </c>
      <c r="H647" s="10" t="s">
        <v>120</v>
      </c>
      <c r="I647" s="9">
        <v>1</v>
      </c>
      <c r="J647" s="13">
        <f>G647/40</f>
        <v>0.15</v>
      </c>
      <c r="K647" s="30">
        <f t="shared" si="98"/>
        <v>1.7462165308498252</v>
      </c>
      <c r="L647" s="30">
        <f t="shared" si="99"/>
        <v>1.7462165308498252</v>
      </c>
    </row>
    <row r="648" spans="3:17">
      <c r="D648" s="53"/>
      <c r="E648" s="163" t="s">
        <v>1181</v>
      </c>
      <c r="G648" s="64">
        <v>6</v>
      </c>
      <c r="H648" s="10" t="s">
        <v>122</v>
      </c>
      <c r="I648" s="9">
        <v>4</v>
      </c>
      <c r="J648" s="13">
        <f t="shared" si="100"/>
        <v>8.5714285714285715E-2</v>
      </c>
      <c r="K648" s="30">
        <f t="shared" si="98"/>
        <v>0.99783801762847157</v>
      </c>
      <c r="L648" s="30">
        <f t="shared" si="99"/>
        <v>3.9913520705138863</v>
      </c>
    </row>
    <row r="649" spans="3:17">
      <c r="D649" s="53"/>
      <c r="E649" s="163" t="s">
        <v>1192</v>
      </c>
      <c r="G649" s="64">
        <v>3</v>
      </c>
      <c r="H649" s="10" t="s">
        <v>26</v>
      </c>
      <c r="I649" s="9">
        <v>4</v>
      </c>
      <c r="J649" s="13">
        <f t="shared" si="100"/>
        <v>4.2857142857142858E-2</v>
      </c>
      <c r="K649" s="30">
        <f t="shared" si="98"/>
        <v>0.49891900881423579</v>
      </c>
      <c r="L649" s="30">
        <f t="shared" si="99"/>
        <v>1.9956760352569431</v>
      </c>
    </row>
    <row r="650" spans="3:17">
      <c r="D650" s="53"/>
      <c r="E650" s="163" t="s">
        <v>1216</v>
      </c>
      <c r="G650" s="64">
        <v>3</v>
      </c>
      <c r="H650" s="10" t="s">
        <v>121</v>
      </c>
      <c r="I650" s="9">
        <v>5</v>
      </c>
      <c r="J650" s="13">
        <f t="shared" si="100"/>
        <v>4.2857142857142858E-2</v>
      </c>
      <c r="K650" s="30">
        <f t="shared" si="98"/>
        <v>0.49891900881423579</v>
      </c>
      <c r="L650" s="30">
        <f t="shared" si="99"/>
        <v>2.494595044071179</v>
      </c>
    </row>
    <row r="651" spans="3:17">
      <c r="D651" s="53"/>
      <c r="E651" s="163" t="s">
        <v>1125</v>
      </c>
      <c r="G651" s="64">
        <v>3</v>
      </c>
      <c r="H651" s="10" t="s">
        <v>14</v>
      </c>
      <c r="I651" s="9">
        <v>5</v>
      </c>
      <c r="J651" s="13">
        <f t="shared" si="100"/>
        <v>4.2857142857142858E-2</v>
      </c>
      <c r="K651" s="30">
        <f t="shared" si="98"/>
        <v>0.49891900881423579</v>
      </c>
      <c r="L651" s="30">
        <f t="shared" si="99"/>
        <v>2.494595044071179</v>
      </c>
    </row>
    <row r="652" spans="3:17">
      <c r="D652" s="53"/>
      <c r="E652" s="163" t="s">
        <v>1139</v>
      </c>
      <c r="G652" s="64">
        <v>6</v>
      </c>
      <c r="H652" s="10" t="s">
        <v>23</v>
      </c>
      <c r="I652" s="9">
        <v>5</v>
      </c>
      <c r="J652" s="13">
        <f t="shared" si="100"/>
        <v>8.5714285714285715E-2</v>
      </c>
      <c r="K652" s="30">
        <f t="shared" si="98"/>
        <v>0.99783801762847157</v>
      </c>
      <c r="L652" s="30">
        <f t="shared" si="99"/>
        <v>4.9891900881423581</v>
      </c>
    </row>
    <row r="653" spans="3:17">
      <c r="D653" s="53"/>
      <c r="E653" s="163" t="s">
        <v>1129</v>
      </c>
      <c r="G653" s="64">
        <v>1.5</v>
      </c>
      <c r="J653" s="13">
        <v>0</v>
      </c>
      <c r="K653" s="30">
        <f t="shared" si="98"/>
        <v>0</v>
      </c>
      <c r="L653" s="30">
        <f t="shared" si="99"/>
        <v>0</v>
      </c>
      <c r="Q653" s="21">
        <v>1.5</v>
      </c>
    </row>
    <row r="654" spans="3:17">
      <c r="D654" s="53"/>
      <c r="E654" s="163" t="s">
        <v>1133</v>
      </c>
      <c r="G654" s="64">
        <v>0.27</v>
      </c>
      <c r="J654" s="13">
        <f t="shared" si="100"/>
        <v>3.8571428571428576E-3</v>
      </c>
      <c r="K654" s="30">
        <f t="shared" si="98"/>
        <v>4.4902710793281231E-2</v>
      </c>
      <c r="L654" s="30">
        <f t="shared" si="99"/>
        <v>0</v>
      </c>
      <c r="P654" s="20">
        <v>0.3</v>
      </c>
    </row>
    <row r="655" spans="3:17">
      <c r="D655" s="53"/>
      <c r="E655" s="163" t="s">
        <v>1206</v>
      </c>
      <c r="G655" s="64">
        <v>1.5</v>
      </c>
      <c r="J655" s="13">
        <v>0</v>
      </c>
      <c r="K655" s="30">
        <f t="shared" si="98"/>
        <v>0</v>
      </c>
      <c r="L655" s="30">
        <f t="shared" si="99"/>
        <v>0</v>
      </c>
      <c r="P655" s="20">
        <f>G655*16/100</f>
        <v>0.24</v>
      </c>
    </row>
    <row r="656" spans="3:17">
      <c r="D656" s="53"/>
      <c r="E656" s="163" t="s">
        <v>1145</v>
      </c>
      <c r="G656" s="64">
        <v>1.5</v>
      </c>
      <c r="J656" s="13">
        <v>0</v>
      </c>
      <c r="K656" s="30">
        <f t="shared" si="98"/>
        <v>0</v>
      </c>
      <c r="L656" s="30">
        <f t="shared" si="99"/>
        <v>0</v>
      </c>
    </row>
    <row r="657" spans="1:17">
      <c r="D657" s="53"/>
      <c r="E657" s="163" t="s">
        <v>1250</v>
      </c>
      <c r="G657" s="64">
        <v>1.5</v>
      </c>
      <c r="H657" s="10" t="s">
        <v>123</v>
      </c>
      <c r="I657" s="9">
        <v>5</v>
      </c>
      <c r="J657" s="13">
        <f t="shared" si="100"/>
        <v>2.1428571428571429E-2</v>
      </c>
      <c r="K657" s="30">
        <f t="shared" si="98"/>
        <v>0.24945950440711789</v>
      </c>
      <c r="L657" s="30">
        <f t="shared" si="99"/>
        <v>1.2472975220355895</v>
      </c>
    </row>
    <row r="658" spans="1:17">
      <c r="D658" s="53"/>
      <c r="E658" s="163" t="s">
        <v>1119</v>
      </c>
      <c r="G658" s="64">
        <v>0.6</v>
      </c>
      <c r="H658" s="10" t="s">
        <v>124</v>
      </c>
      <c r="I658" s="9">
        <v>5</v>
      </c>
      <c r="J658" s="13">
        <f>G658/7</f>
        <v>8.5714285714285715E-2</v>
      </c>
      <c r="K658" s="30">
        <f t="shared" si="98"/>
        <v>0.99783801762847157</v>
      </c>
      <c r="L658" s="30">
        <f t="shared" si="99"/>
        <v>4.9891900881423581</v>
      </c>
    </row>
    <row r="659" spans="1:17">
      <c r="C659" s="163" t="s">
        <v>1085</v>
      </c>
      <c r="D659" s="53"/>
      <c r="E659" s="162" t="s">
        <v>1085</v>
      </c>
      <c r="F659" s="31"/>
      <c r="G659" s="64">
        <v>70</v>
      </c>
      <c r="H659" s="10" t="s">
        <v>23</v>
      </c>
      <c r="I659" s="9">
        <v>5</v>
      </c>
      <c r="J659" s="13">
        <f>G659/70</f>
        <v>1</v>
      </c>
      <c r="K659" s="30">
        <f t="shared" si="98"/>
        <v>11.641443538998836</v>
      </c>
      <c r="L659" s="30">
        <f t="shared" si="99"/>
        <v>58.207217694994178</v>
      </c>
      <c r="P659" s="20">
        <f>G659*2.8/100</f>
        <v>1.96</v>
      </c>
    </row>
    <row r="660" spans="1:17" ht="17.25" thickBot="1">
      <c r="A660" s="37"/>
      <c r="B660" s="37"/>
      <c r="C660" s="37"/>
      <c r="D660" s="40"/>
      <c r="E660" s="165"/>
      <c r="F660" s="37"/>
      <c r="G660" s="68"/>
      <c r="H660" s="37"/>
      <c r="I660" s="39"/>
      <c r="J660" s="26">
        <f>SUM(J635:J659)</f>
        <v>8.5945714285714256</v>
      </c>
      <c r="K660" s="38">
        <f>SUM(K635:K659)</f>
        <v>100.05321802760685</v>
      </c>
      <c r="L660" s="38"/>
      <c r="M660" s="38">
        <f>SUM(L635:L659)</f>
        <v>318.83419258273744</v>
      </c>
      <c r="N660" s="37" t="s">
        <v>64</v>
      </c>
      <c r="O660" s="37" t="s">
        <v>118</v>
      </c>
      <c r="P660" s="27">
        <f>SUM(P635:P659)</f>
        <v>4</v>
      </c>
      <c r="Q660" s="28">
        <f>SUM(Q635:Q659)</f>
        <v>21.5</v>
      </c>
    </row>
    <row r="662" spans="1:17">
      <c r="A662" s="29">
        <v>28</v>
      </c>
      <c r="B662" s="7" t="s">
        <v>125</v>
      </c>
      <c r="C662" s="163" t="s">
        <v>1108</v>
      </c>
      <c r="D662" s="25" t="s">
        <v>1314</v>
      </c>
      <c r="E662" s="163" t="s">
        <v>418</v>
      </c>
      <c r="G662" s="64">
        <v>15</v>
      </c>
      <c r="H662" s="10" t="s">
        <v>30</v>
      </c>
      <c r="I662" s="9">
        <v>2</v>
      </c>
      <c r="J662" s="13">
        <f>G662/55</f>
        <v>0.27272727272727271</v>
      </c>
      <c r="K662" s="30">
        <f>J662/6.21*100</f>
        <v>4.391743522178305</v>
      </c>
      <c r="L662" s="30">
        <f>K662*I662</f>
        <v>8.78348704435661</v>
      </c>
    </row>
    <row r="663" spans="1:17">
      <c r="E663" s="163" t="s">
        <v>1114</v>
      </c>
      <c r="G663" s="64">
        <v>80</v>
      </c>
      <c r="H663" s="10" t="s">
        <v>15</v>
      </c>
      <c r="I663" s="10">
        <v>2</v>
      </c>
      <c r="J663" s="13">
        <f>G663/30</f>
        <v>2.6666666666666665</v>
      </c>
      <c r="K663" s="30">
        <f t="shared" ref="K663:K676" si="101">J663/6.21*100</f>
        <v>42.941492216854535</v>
      </c>
      <c r="L663" s="30">
        <f t="shared" ref="L663:L676" si="102">K663*I663</f>
        <v>85.882984433709069</v>
      </c>
    </row>
    <row r="664" spans="1:17">
      <c r="E664" s="163" t="s">
        <v>1239</v>
      </c>
      <c r="G664" s="64">
        <v>15</v>
      </c>
      <c r="H664" s="10" t="s">
        <v>114</v>
      </c>
      <c r="I664" s="9">
        <v>1</v>
      </c>
      <c r="J664" s="13">
        <f>G664/40</f>
        <v>0.375</v>
      </c>
      <c r="K664" s="30">
        <f t="shared" si="101"/>
        <v>6.0386473429951693</v>
      </c>
      <c r="L664" s="30">
        <f t="shared" si="102"/>
        <v>6.0386473429951693</v>
      </c>
    </row>
    <row r="665" spans="1:17">
      <c r="E665" s="163" t="s">
        <v>1136</v>
      </c>
      <c r="G665" s="64">
        <v>15</v>
      </c>
      <c r="H665" s="10" t="s">
        <v>122</v>
      </c>
      <c r="I665" s="9">
        <v>4</v>
      </c>
      <c r="J665" s="13">
        <f t="shared" ref="J665" si="103">G665/70</f>
        <v>0.21428571428571427</v>
      </c>
      <c r="K665" s="30">
        <f t="shared" si="101"/>
        <v>3.4506556245686681</v>
      </c>
      <c r="L665" s="30">
        <f t="shared" si="102"/>
        <v>13.802622498274673</v>
      </c>
    </row>
    <row r="666" spans="1:17">
      <c r="E666" s="163" t="s">
        <v>1085</v>
      </c>
      <c r="G666" s="64">
        <v>15</v>
      </c>
      <c r="H666" s="10" t="s">
        <v>23</v>
      </c>
      <c r="I666" s="9">
        <v>5</v>
      </c>
      <c r="J666" s="13">
        <f>G666/70</f>
        <v>0.21428571428571427</v>
      </c>
      <c r="K666" s="30">
        <f t="shared" si="101"/>
        <v>3.4506556245686681</v>
      </c>
      <c r="L666" s="30">
        <f t="shared" si="102"/>
        <v>17.253278122843341</v>
      </c>
      <c r="P666" s="20">
        <f>G666*2.8/100</f>
        <v>0.42</v>
      </c>
    </row>
    <row r="667" spans="1:17">
      <c r="E667" s="163" t="s">
        <v>1192</v>
      </c>
      <c r="G667" s="64">
        <v>15</v>
      </c>
      <c r="H667" s="10" t="s">
        <v>26</v>
      </c>
      <c r="I667" s="9">
        <v>4</v>
      </c>
      <c r="J667" s="13">
        <f t="shared" ref="J667:J674" si="104">G667/70</f>
        <v>0.21428571428571427</v>
      </c>
      <c r="K667" s="30">
        <f t="shared" si="101"/>
        <v>3.4506556245686681</v>
      </c>
      <c r="L667" s="30">
        <f t="shared" si="102"/>
        <v>13.802622498274673</v>
      </c>
    </row>
    <row r="668" spans="1:17">
      <c r="C668" s="159"/>
      <c r="E668" s="163" t="s">
        <v>1251</v>
      </c>
      <c r="G668" s="64">
        <v>10</v>
      </c>
      <c r="H668" s="10" t="s">
        <v>23</v>
      </c>
      <c r="I668" s="9">
        <v>5</v>
      </c>
      <c r="J668" s="13">
        <f>G668/40</f>
        <v>0.25</v>
      </c>
      <c r="K668" s="30">
        <f t="shared" si="101"/>
        <v>4.0257648953301128</v>
      </c>
      <c r="L668" s="30">
        <f t="shared" si="102"/>
        <v>20.128824476650564</v>
      </c>
    </row>
    <row r="669" spans="1:17">
      <c r="E669" s="163" t="s">
        <v>1129</v>
      </c>
      <c r="G669" s="64">
        <v>5</v>
      </c>
      <c r="J669" s="13">
        <v>0</v>
      </c>
      <c r="K669" s="30">
        <f t="shared" si="101"/>
        <v>0</v>
      </c>
      <c r="L669" s="30">
        <f t="shared" si="102"/>
        <v>0</v>
      </c>
      <c r="Q669" s="21">
        <v>5</v>
      </c>
    </row>
    <row r="670" spans="1:17">
      <c r="E670" s="163" t="s">
        <v>1253</v>
      </c>
      <c r="G670" s="64">
        <v>3</v>
      </c>
      <c r="J670" s="13">
        <v>0</v>
      </c>
      <c r="K670" s="30">
        <f t="shared" si="101"/>
        <v>0</v>
      </c>
      <c r="L670" s="30">
        <f t="shared" si="102"/>
        <v>0</v>
      </c>
      <c r="P670" s="20">
        <f>G670*14.6/100</f>
        <v>0.43799999999999994</v>
      </c>
    </row>
    <row r="671" spans="1:17">
      <c r="E671" s="163" t="s">
        <v>1132</v>
      </c>
      <c r="G671" s="64">
        <v>3</v>
      </c>
      <c r="J671" s="13">
        <v>0</v>
      </c>
      <c r="K671" s="30">
        <f t="shared" si="101"/>
        <v>0</v>
      </c>
      <c r="L671" s="30">
        <f t="shared" si="102"/>
        <v>0</v>
      </c>
      <c r="Q671" s="21">
        <v>3</v>
      </c>
    </row>
    <row r="672" spans="1:17">
      <c r="E672" s="163" t="s">
        <v>1131</v>
      </c>
      <c r="G672" s="64">
        <v>2</v>
      </c>
      <c r="H672" s="10" t="s">
        <v>126</v>
      </c>
      <c r="I672" s="9">
        <v>3</v>
      </c>
      <c r="J672" s="13">
        <f>G672/2</f>
        <v>1</v>
      </c>
      <c r="K672" s="30">
        <f t="shared" si="101"/>
        <v>16.103059581320451</v>
      </c>
      <c r="L672" s="30">
        <f t="shared" si="102"/>
        <v>48.309178743961354</v>
      </c>
    </row>
    <row r="673" spans="1:17">
      <c r="E673" s="163" t="s">
        <v>1133</v>
      </c>
      <c r="G673" s="64">
        <v>0.5</v>
      </c>
      <c r="J673" s="13">
        <v>0</v>
      </c>
      <c r="K673" s="30">
        <f t="shared" si="101"/>
        <v>0</v>
      </c>
      <c r="L673" s="30">
        <f t="shared" si="102"/>
        <v>0</v>
      </c>
      <c r="P673" s="20">
        <v>0.5</v>
      </c>
    </row>
    <row r="674" spans="1:17">
      <c r="C674" s="29" t="s">
        <v>1109</v>
      </c>
      <c r="D674" s="53" t="s">
        <v>1314</v>
      </c>
      <c r="E674" s="163" t="s">
        <v>1133</v>
      </c>
      <c r="G674" s="64">
        <v>0.15</v>
      </c>
      <c r="J674" s="13">
        <f t="shared" si="104"/>
        <v>2.142857142857143E-3</v>
      </c>
      <c r="K674" s="30">
        <f t="shared" si="101"/>
        <v>3.450655624568668E-2</v>
      </c>
      <c r="L674" s="30">
        <f t="shared" si="102"/>
        <v>0</v>
      </c>
      <c r="P674" s="20">
        <v>0.2</v>
      </c>
    </row>
    <row r="675" spans="1:17">
      <c r="E675" s="163" t="s">
        <v>1206</v>
      </c>
      <c r="G675" s="64">
        <v>1.2</v>
      </c>
      <c r="J675" s="18">
        <v>0</v>
      </c>
      <c r="K675" s="30">
        <f t="shared" si="101"/>
        <v>0</v>
      </c>
      <c r="L675" s="30">
        <f t="shared" si="102"/>
        <v>0</v>
      </c>
      <c r="P675" s="20">
        <f>G675*16/100</f>
        <v>0.192</v>
      </c>
    </row>
    <row r="676" spans="1:17">
      <c r="C676" s="163" t="s">
        <v>1085</v>
      </c>
      <c r="D676" s="53"/>
      <c r="E676" s="162" t="s">
        <v>1085</v>
      </c>
      <c r="F676" s="31"/>
      <c r="G676" s="64">
        <v>70</v>
      </c>
      <c r="H676" s="10" t="s">
        <v>23</v>
      </c>
      <c r="I676" s="9">
        <v>5</v>
      </c>
      <c r="J676" s="13">
        <f>G676/70</f>
        <v>1</v>
      </c>
      <c r="K676" s="30">
        <f t="shared" si="101"/>
        <v>16.103059581320451</v>
      </c>
      <c r="L676" s="30">
        <f t="shared" si="102"/>
        <v>80.515297906602257</v>
      </c>
      <c r="P676" s="20">
        <f>G676*2.8/100</f>
        <v>1.96</v>
      </c>
    </row>
    <row r="677" spans="1:17" ht="17.25" thickBot="1">
      <c r="A677" s="37"/>
      <c r="B677" s="37"/>
      <c r="C677" s="37"/>
      <c r="D677" s="40"/>
      <c r="E677" s="165"/>
      <c r="F677" s="37"/>
      <c r="G677" s="68"/>
      <c r="H677" s="37"/>
      <c r="I677" s="39"/>
      <c r="J677" s="26">
        <f>SUM(J662:J676)</f>
        <v>6.2093939393939399</v>
      </c>
      <c r="K677" s="38">
        <f>SUM(K662:K676)</f>
        <v>99.990240569950714</v>
      </c>
      <c r="L677" s="38"/>
      <c r="M677" s="38">
        <f>SUM(L662:L676)</f>
        <v>294.51694306766768</v>
      </c>
      <c r="N677" s="37" t="s">
        <v>36</v>
      </c>
      <c r="O677" s="37" t="s">
        <v>127</v>
      </c>
      <c r="P677" s="27">
        <f>SUM(P662:P676)</f>
        <v>3.71</v>
      </c>
      <c r="Q677" s="28">
        <f>SUM(Q662:Q676)</f>
        <v>8</v>
      </c>
    </row>
    <row r="679" spans="1:17">
      <c r="A679" s="29">
        <v>29</v>
      </c>
      <c r="B679" s="7" t="s">
        <v>128</v>
      </c>
      <c r="C679" s="163" t="s">
        <v>1110</v>
      </c>
      <c r="D679" s="53" t="s">
        <v>1314</v>
      </c>
      <c r="E679" s="163" t="s">
        <v>1254</v>
      </c>
      <c r="G679" s="64">
        <v>300</v>
      </c>
      <c r="H679" s="10" t="s">
        <v>129</v>
      </c>
      <c r="I679" s="9">
        <v>3</v>
      </c>
      <c r="J679" s="13">
        <f>G679/40</f>
        <v>7.5</v>
      </c>
      <c r="K679" s="30">
        <f>J679/12.08*100</f>
        <v>62.086092715231786</v>
      </c>
      <c r="L679" s="30">
        <f>K679*I679</f>
        <v>186.25827814569536</v>
      </c>
    </row>
    <row r="680" spans="1:17">
      <c r="D680" s="53"/>
      <c r="E680" s="163" t="s">
        <v>1158</v>
      </c>
      <c r="G680" s="64">
        <v>30</v>
      </c>
      <c r="H680" s="10" t="s">
        <v>15</v>
      </c>
      <c r="I680" s="10">
        <v>2</v>
      </c>
      <c r="J680" s="13">
        <f>G680/30</f>
        <v>1</v>
      </c>
      <c r="K680" s="30">
        <f t="shared" ref="K680:K686" si="105">J680/12.08*100</f>
        <v>8.2781456953642394</v>
      </c>
      <c r="L680" s="30">
        <f t="shared" ref="L680:L686" si="106">K680*I680</f>
        <v>16.556291390728479</v>
      </c>
    </row>
    <row r="681" spans="1:17">
      <c r="C681" s="159"/>
      <c r="D681" s="53"/>
      <c r="E681" s="163" t="s">
        <v>418</v>
      </c>
      <c r="G681" s="64">
        <v>50</v>
      </c>
      <c r="H681" s="10" t="s">
        <v>30</v>
      </c>
      <c r="I681" s="9">
        <v>2</v>
      </c>
      <c r="J681" s="13">
        <f>G681/55</f>
        <v>0.90909090909090906</v>
      </c>
      <c r="K681" s="30">
        <f t="shared" si="105"/>
        <v>7.5255869957856714</v>
      </c>
      <c r="L681" s="30">
        <f t="shared" si="106"/>
        <v>15.051173991571343</v>
      </c>
    </row>
    <row r="682" spans="1:17">
      <c r="D682" s="53"/>
      <c r="E682" s="163" t="s">
        <v>1129</v>
      </c>
      <c r="G682" s="64">
        <v>40</v>
      </c>
      <c r="H682" s="10"/>
      <c r="I682" s="9"/>
      <c r="J682" s="13">
        <v>0</v>
      </c>
      <c r="K682" s="30">
        <f t="shared" si="105"/>
        <v>0</v>
      </c>
      <c r="L682" s="30">
        <f t="shared" si="106"/>
        <v>0</v>
      </c>
      <c r="Q682" s="21">
        <v>40</v>
      </c>
    </row>
    <row r="683" spans="1:17">
      <c r="D683" s="53"/>
      <c r="E683" s="163" t="s">
        <v>1255</v>
      </c>
      <c r="G683" s="64">
        <v>50</v>
      </c>
      <c r="H683" s="10" t="s">
        <v>15</v>
      </c>
      <c r="I683" s="10">
        <v>2</v>
      </c>
      <c r="J683" s="13">
        <f>G683/30</f>
        <v>1.6666666666666667</v>
      </c>
      <c r="K683" s="30">
        <f t="shared" si="105"/>
        <v>13.796909492273732</v>
      </c>
      <c r="L683" s="30">
        <f t="shared" si="106"/>
        <v>27.593818984547465</v>
      </c>
    </row>
    <row r="684" spans="1:17">
      <c r="D684" s="53"/>
      <c r="E684" s="163" t="s">
        <v>1133</v>
      </c>
      <c r="G684" s="64">
        <v>5</v>
      </c>
      <c r="H684" s="10"/>
      <c r="I684" s="9"/>
      <c r="J684" s="13">
        <v>0</v>
      </c>
      <c r="K684" s="30">
        <f t="shared" si="105"/>
        <v>0</v>
      </c>
      <c r="L684" s="30">
        <f t="shared" si="106"/>
        <v>0</v>
      </c>
      <c r="P684" s="20">
        <v>5</v>
      </c>
    </row>
    <row r="685" spans="1:17">
      <c r="C685" s="163" t="s">
        <v>1111</v>
      </c>
      <c r="D685" s="53" t="s">
        <v>1314</v>
      </c>
      <c r="E685" s="163" t="s">
        <v>1139</v>
      </c>
      <c r="G685" s="64">
        <v>70</v>
      </c>
      <c r="H685" s="10" t="s">
        <v>23</v>
      </c>
      <c r="I685" s="9">
        <v>5</v>
      </c>
      <c r="J685" s="13">
        <f t="shared" ref="J685" si="107">G685/70</f>
        <v>1</v>
      </c>
      <c r="K685" s="30">
        <f t="shared" si="105"/>
        <v>8.2781456953642394</v>
      </c>
      <c r="L685" s="30">
        <f t="shared" si="106"/>
        <v>41.390728476821195</v>
      </c>
    </row>
    <row r="686" spans="1:17">
      <c r="D686" s="53"/>
      <c r="E686" s="163" t="s">
        <v>1133</v>
      </c>
      <c r="G686" s="64">
        <v>0.6</v>
      </c>
      <c r="J686" s="18">
        <v>0</v>
      </c>
      <c r="K686" s="30">
        <f t="shared" si="105"/>
        <v>0</v>
      </c>
      <c r="L686" s="30">
        <f t="shared" si="106"/>
        <v>0</v>
      </c>
      <c r="P686" s="20">
        <v>0.6</v>
      </c>
    </row>
    <row r="687" spans="1:17" ht="17.25" thickBot="1">
      <c r="A687" s="37"/>
      <c r="B687" s="37"/>
      <c r="C687" s="37"/>
      <c r="D687" s="40"/>
      <c r="E687" s="165"/>
      <c r="F687" s="37"/>
      <c r="G687" s="68"/>
      <c r="H687" s="37"/>
      <c r="I687" s="39"/>
      <c r="J687" s="26">
        <f>SUM(J679:J686)</f>
        <v>12.075757575757574</v>
      </c>
      <c r="K687" s="38">
        <f>SUM(K679:K686)</f>
        <v>99.964880594019675</v>
      </c>
      <c r="L687" s="38"/>
      <c r="M687" s="38">
        <f>SUM(L679:L686)</f>
        <v>286.85029098936383</v>
      </c>
      <c r="N687" s="37" t="s">
        <v>64</v>
      </c>
      <c r="O687" s="37" t="s">
        <v>118</v>
      </c>
      <c r="P687" s="27">
        <f>SUM(P679:P686)</f>
        <v>5.6</v>
      </c>
      <c r="Q687" s="28">
        <f>SUM(Q679:Q686)</f>
        <v>40</v>
      </c>
    </row>
    <row r="688" spans="1:17">
      <c r="A688" s="52"/>
      <c r="B688" s="52"/>
      <c r="C688" s="52"/>
      <c r="D688" s="57"/>
      <c r="E688" s="168"/>
      <c r="F688" s="52"/>
      <c r="G688" s="70"/>
      <c r="H688" s="52"/>
      <c r="I688" s="51"/>
      <c r="J688" s="61"/>
      <c r="K688" s="58"/>
      <c r="L688" s="58"/>
      <c r="M688" s="58"/>
      <c r="N688" s="52"/>
      <c r="O688" s="52"/>
      <c r="P688" s="59"/>
      <c r="Q688" s="60"/>
    </row>
    <row r="689" spans="1:17">
      <c r="A689" s="29">
        <v>30</v>
      </c>
      <c r="B689" s="7" t="s">
        <v>137</v>
      </c>
      <c r="C689" s="163" t="s">
        <v>1112</v>
      </c>
      <c r="D689" s="53" t="s">
        <v>1314</v>
      </c>
      <c r="E689" s="163" t="s">
        <v>1160</v>
      </c>
      <c r="G689" s="64">
        <v>15</v>
      </c>
      <c r="H689" s="10"/>
      <c r="I689" s="9"/>
      <c r="J689" s="13">
        <v>0</v>
      </c>
      <c r="K689" s="30">
        <f>J689/7.21*100</f>
        <v>0</v>
      </c>
      <c r="L689" s="30">
        <f>K689*I689</f>
        <v>0</v>
      </c>
      <c r="P689" s="20">
        <f>G689*7/100</f>
        <v>1.05</v>
      </c>
    </row>
    <row r="690" spans="1:17">
      <c r="D690" s="53"/>
      <c r="E690" s="163" t="s">
        <v>1114</v>
      </c>
      <c r="G690" s="64">
        <v>80</v>
      </c>
      <c r="H690" s="10" t="s">
        <v>15</v>
      </c>
      <c r="I690" s="10">
        <v>2</v>
      </c>
      <c r="J690" s="13">
        <f>G690/30</f>
        <v>2.6666666666666665</v>
      </c>
      <c r="K690" s="30">
        <f t="shared" ref="K690:K703" si="108">J690/7.21*100</f>
        <v>36.985668053629219</v>
      </c>
      <c r="L690" s="30">
        <f>K690*I690</f>
        <v>73.971336107258438</v>
      </c>
    </row>
    <row r="691" spans="1:17" ht="18" customHeight="1">
      <c r="C691" s="159"/>
      <c r="D691" s="53"/>
      <c r="E691" s="163" t="s">
        <v>1256</v>
      </c>
      <c r="G691" s="64">
        <v>60</v>
      </c>
      <c r="H691" s="10" t="s">
        <v>21</v>
      </c>
      <c r="I691" s="9">
        <v>4</v>
      </c>
      <c r="J691" s="13">
        <f>G691/50</f>
        <v>1.2</v>
      </c>
      <c r="K691" s="30">
        <f t="shared" si="108"/>
        <v>16.643550624133148</v>
      </c>
      <c r="L691" s="30">
        <f t="shared" ref="L691:L703" si="109">K691*I691</f>
        <v>66.574202496532592</v>
      </c>
    </row>
    <row r="692" spans="1:17">
      <c r="D692" s="53"/>
      <c r="E692" s="163" t="s">
        <v>1174</v>
      </c>
      <c r="G692" s="64">
        <v>20</v>
      </c>
      <c r="H692" s="10" t="s">
        <v>23</v>
      </c>
      <c r="I692" s="9">
        <v>5</v>
      </c>
      <c r="J692" s="13">
        <f>G692/70</f>
        <v>0.2857142857142857</v>
      </c>
      <c r="K692" s="30">
        <f t="shared" si="108"/>
        <v>3.96275014860313</v>
      </c>
      <c r="L692" s="30">
        <f t="shared" si="109"/>
        <v>19.81375074301565</v>
      </c>
    </row>
    <row r="693" spans="1:17">
      <c r="D693" s="53"/>
      <c r="E693" s="163" t="s">
        <v>1216</v>
      </c>
      <c r="G693" s="64">
        <v>20</v>
      </c>
      <c r="H693" s="10" t="s">
        <v>138</v>
      </c>
      <c r="I693" s="9">
        <v>5</v>
      </c>
      <c r="J693" s="13">
        <f>G693/70</f>
        <v>0.2857142857142857</v>
      </c>
      <c r="K693" s="30">
        <f t="shared" si="108"/>
        <v>3.96275014860313</v>
      </c>
      <c r="L693" s="30">
        <f t="shared" si="109"/>
        <v>19.81375074301565</v>
      </c>
    </row>
    <row r="694" spans="1:17">
      <c r="D694" s="53"/>
      <c r="E694" s="163" t="s">
        <v>1056</v>
      </c>
      <c r="G694" s="64">
        <v>10</v>
      </c>
      <c r="H694" s="10" t="s">
        <v>139</v>
      </c>
      <c r="I694" s="9">
        <v>5</v>
      </c>
      <c r="J694" s="13">
        <f>G694/70</f>
        <v>0.14285714285714285</v>
      </c>
      <c r="K694" s="30">
        <f t="shared" si="108"/>
        <v>1.981375074301565</v>
      </c>
      <c r="L694" s="30">
        <f t="shared" si="109"/>
        <v>9.9068753715078248</v>
      </c>
    </row>
    <row r="695" spans="1:17">
      <c r="D695" s="53"/>
      <c r="E695" s="163" t="s">
        <v>1192</v>
      </c>
      <c r="G695" s="64">
        <v>10</v>
      </c>
      <c r="H695" s="10" t="s">
        <v>26</v>
      </c>
      <c r="I695" s="9">
        <v>4</v>
      </c>
      <c r="J695" s="13">
        <f t="shared" ref="J695:J696" si="110">G695/70</f>
        <v>0.14285714285714285</v>
      </c>
      <c r="K695" s="30">
        <f t="shared" si="108"/>
        <v>1.981375074301565</v>
      </c>
      <c r="L695" s="30">
        <f t="shared" si="109"/>
        <v>7.92550029720626</v>
      </c>
    </row>
    <row r="696" spans="1:17">
      <c r="D696" s="53"/>
      <c r="E696" s="163" t="s">
        <v>1123</v>
      </c>
      <c r="G696" s="64">
        <v>10</v>
      </c>
      <c r="H696" s="10" t="s">
        <v>23</v>
      </c>
      <c r="I696" s="9">
        <v>5</v>
      </c>
      <c r="J696" s="13">
        <f t="shared" si="110"/>
        <v>0.14285714285714285</v>
      </c>
      <c r="K696" s="30">
        <f t="shared" si="108"/>
        <v>1.981375074301565</v>
      </c>
      <c r="L696" s="30">
        <f t="shared" si="109"/>
        <v>9.9068753715078248</v>
      </c>
    </row>
    <row r="697" spans="1:17">
      <c r="D697" s="53"/>
      <c r="E697" s="163" t="s">
        <v>1120</v>
      </c>
      <c r="G697" s="64">
        <v>8</v>
      </c>
      <c r="H697" s="10" t="s">
        <v>16</v>
      </c>
      <c r="I697" s="9">
        <v>5</v>
      </c>
      <c r="J697" s="13">
        <f>G697/7</f>
        <v>1.1428571428571428</v>
      </c>
      <c r="K697" s="30">
        <f t="shared" si="108"/>
        <v>15.85100059441252</v>
      </c>
      <c r="L697" s="30">
        <f t="shared" si="109"/>
        <v>79.255002972062599</v>
      </c>
    </row>
    <row r="698" spans="1:17">
      <c r="D698" s="53"/>
      <c r="E698" s="163" t="s">
        <v>1257</v>
      </c>
      <c r="G698" s="64">
        <v>5</v>
      </c>
      <c r="H698" s="10" t="s">
        <v>139</v>
      </c>
      <c r="I698" s="9">
        <v>5</v>
      </c>
      <c r="J698" s="13">
        <f>G698/70</f>
        <v>7.1428571428571425E-2</v>
      </c>
      <c r="K698" s="30">
        <f t="shared" si="108"/>
        <v>0.9906875371507825</v>
      </c>
      <c r="L698" s="30">
        <f t="shared" si="109"/>
        <v>4.9534376857539124</v>
      </c>
    </row>
    <row r="699" spans="1:17">
      <c r="D699" s="53"/>
      <c r="E699" s="163" t="s">
        <v>1058</v>
      </c>
      <c r="G699" s="64">
        <v>5</v>
      </c>
      <c r="H699" s="10" t="s">
        <v>23</v>
      </c>
      <c r="I699" s="9">
        <v>5</v>
      </c>
      <c r="J699" s="13">
        <f>G699/70</f>
        <v>7.1428571428571425E-2</v>
      </c>
      <c r="K699" s="30">
        <f t="shared" si="108"/>
        <v>0.9906875371507825</v>
      </c>
      <c r="L699" s="30">
        <f t="shared" si="109"/>
        <v>4.9534376857539124</v>
      </c>
    </row>
    <row r="700" spans="1:17">
      <c r="D700" s="53"/>
      <c r="E700" s="163" t="s">
        <v>1132</v>
      </c>
      <c r="G700" s="64">
        <v>3</v>
      </c>
      <c r="H700" s="10"/>
      <c r="I700" s="9"/>
      <c r="J700" s="13">
        <v>0</v>
      </c>
      <c r="K700" s="30">
        <f t="shared" si="108"/>
        <v>0</v>
      </c>
      <c r="L700" s="30">
        <f t="shared" si="109"/>
        <v>0</v>
      </c>
      <c r="Q700" s="21">
        <v>3</v>
      </c>
    </row>
    <row r="701" spans="1:17">
      <c r="D701" s="53"/>
      <c r="E701" s="163" t="s">
        <v>1137</v>
      </c>
      <c r="G701" s="64">
        <v>0.5</v>
      </c>
      <c r="H701" s="10" t="s">
        <v>140</v>
      </c>
      <c r="I701" s="9">
        <v>2</v>
      </c>
      <c r="J701" s="13">
        <f>G701/8</f>
        <v>6.25E-2</v>
      </c>
      <c r="K701" s="30">
        <f t="shared" si="108"/>
        <v>0.86685159500693476</v>
      </c>
      <c r="L701" s="30">
        <f t="shared" si="109"/>
        <v>1.7337031900138695</v>
      </c>
    </row>
    <row r="702" spans="1:17">
      <c r="C702" s="163" t="s">
        <v>1087</v>
      </c>
      <c r="D702" s="53"/>
      <c r="E702" s="163" t="s">
        <v>1226</v>
      </c>
      <c r="F702" s="29">
        <v>24</v>
      </c>
      <c r="G702" s="64">
        <f>F702/2</f>
        <v>12</v>
      </c>
      <c r="J702" s="18">
        <v>0</v>
      </c>
      <c r="K702" s="30">
        <f t="shared" si="108"/>
        <v>0</v>
      </c>
      <c r="L702" s="30">
        <f t="shared" si="109"/>
        <v>0</v>
      </c>
      <c r="P702" s="20">
        <f>G702*10.8/100</f>
        <v>1.2960000000000003</v>
      </c>
    </row>
    <row r="703" spans="1:17">
      <c r="C703" s="163" t="s">
        <v>1088</v>
      </c>
      <c r="D703" s="53"/>
      <c r="E703" s="163" t="s">
        <v>1088</v>
      </c>
      <c r="G703" s="64">
        <v>34</v>
      </c>
      <c r="H703" s="10" t="s">
        <v>23</v>
      </c>
      <c r="I703" s="9">
        <v>5</v>
      </c>
      <c r="J703" s="18">
        <v>1</v>
      </c>
      <c r="K703" s="30">
        <f t="shared" si="108"/>
        <v>13.869625520110956</v>
      </c>
      <c r="L703" s="30">
        <f t="shared" si="109"/>
        <v>69.348127600554776</v>
      </c>
      <c r="P703" s="20">
        <f>G703*1.4/100</f>
        <v>0.47599999999999992</v>
      </c>
    </row>
    <row r="704" spans="1:17" ht="17.25" thickBot="1">
      <c r="A704" s="37"/>
      <c r="B704" s="37"/>
      <c r="C704" s="37"/>
      <c r="D704" s="40"/>
      <c r="E704" s="165"/>
      <c r="F704" s="37"/>
      <c r="G704" s="68"/>
      <c r="H704" s="37"/>
      <c r="I704" s="39"/>
      <c r="J704" s="26">
        <f>SUM(J689:J703)</f>
        <v>7.2148809523809518</v>
      </c>
      <c r="K704" s="38">
        <f>SUM(K689:K703)</f>
        <v>100.0676969817053</v>
      </c>
      <c r="L704" s="38"/>
      <c r="M704" s="38">
        <f>SUM(L689:L703)</f>
        <v>368.15600026418326</v>
      </c>
      <c r="N704" s="37" t="s">
        <v>36</v>
      </c>
      <c r="O704" s="37" t="s">
        <v>13</v>
      </c>
      <c r="P704" s="27">
        <f>SUM(P689:P703)</f>
        <v>2.8220000000000001</v>
      </c>
      <c r="Q704" s="28">
        <f>SUM(Q689:Q703)</f>
        <v>3</v>
      </c>
    </row>
  </sheetData>
  <mergeCells count="2">
    <mergeCell ref="A1:Q1"/>
    <mergeCell ref="A2:Q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zoomScale="70" zoomScaleNormal="70" workbookViewId="0">
      <pane xSplit="1" ySplit="1" topLeftCell="B86" activePane="bottomRight" state="frozen"/>
      <selection pane="topRight" activeCell="B1" sqref="B1"/>
      <selection pane="bottomLeft" activeCell="A2" sqref="A2"/>
      <selection pane="bottomRight" activeCell="B82" sqref="B82"/>
    </sheetView>
  </sheetViews>
  <sheetFormatPr defaultRowHeight="16.5"/>
  <cols>
    <col min="1" max="1" width="4.875" bestFit="1" customWidth="1"/>
    <col min="2" max="2" width="16.625" bestFit="1" customWidth="1"/>
    <col min="3" max="3" width="26.625" customWidth="1"/>
    <col min="4" max="4" width="12.25" customWidth="1"/>
    <col min="5" max="5" width="30.125" style="162" bestFit="1" customWidth="1"/>
    <col min="6" max="6" width="10.875" style="53" bestFit="1" customWidth="1"/>
    <col min="7" max="7" width="5.25" style="53" bestFit="1" customWidth="1"/>
    <col min="8" max="8" width="17" style="122" bestFit="1" customWidth="1"/>
    <col min="9" max="9" width="11.25" bestFit="1" customWidth="1"/>
    <col min="10" max="10" width="6.75" bestFit="1" customWidth="1"/>
    <col min="11" max="11" width="8.5" style="18" bestFit="1" customWidth="1"/>
    <col min="12" max="12" width="9.875" bestFit="1" customWidth="1"/>
    <col min="13" max="13" width="7.75" bestFit="1" customWidth="1"/>
    <col min="16" max="16" width="12.125" style="53" bestFit="1" customWidth="1"/>
    <col min="17" max="17" width="10.125" style="121" bestFit="1" customWidth="1"/>
    <col min="18" max="18" width="6.875" style="116" bestFit="1" customWidth="1"/>
  </cols>
  <sheetData>
    <row r="1" spans="1:18" s="2" customFormat="1" ht="82.5">
      <c r="A1" s="62" t="s">
        <v>0</v>
      </c>
      <c r="B1" s="62" t="s">
        <v>2</v>
      </c>
      <c r="C1" s="62" t="s">
        <v>3</v>
      </c>
      <c r="D1" s="2" t="s">
        <v>37</v>
      </c>
      <c r="E1" s="160" t="s">
        <v>4</v>
      </c>
      <c r="F1" s="13" t="s">
        <v>173</v>
      </c>
      <c r="G1" s="4" t="s">
        <v>158</v>
      </c>
      <c r="H1" s="84" t="s">
        <v>174</v>
      </c>
      <c r="I1" s="2" t="s">
        <v>1</v>
      </c>
      <c r="J1" s="11" t="s">
        <v>7</v>
      </c>
      <c r="K1" s="12" t="s">
        <v>220</v>
      </c>
      <c r="L1" s="15" t="s">
        <v>8</v>
      </c>
      <c r="M1" s="16" t="s">
        <v>9</v>
      </c>
      <c r="N1" s="8" t="s">
        <v>10</v>
      </c>
      <c r="O1" s="8" t="s">
        <v>11</v>
      </c>
      <c r="P1" s="2" t="s">
        <v>12</v>
      </c>
      <c r="Q1" s="117" t="s">
        <v>35</v>
      </c>
      <c r="R1" s="17" t="s">
        <v>34</v>
      </c>
    </row>
    <row r="2" spans="1:18" s="29" customFormat="1">
      <c r="A2" s="7">
        <v>1</v>
      </c>
      <c r="B2" s="7" t="s">
        <v>700</v>
      </c>
      <c r="C2" s="29" t="s">
        <v>1367</v>
      </c>
      <c r="D2" s="6" t="s">
        <v>701</v>
      </c>
      <c r="E2" s="169" t="s">
        <v>1259</v>
      </c>
      <c r="F2" s="83">
        <v>275</v>
      </c>
      <c r="G2" s="29" t="s">
        <v>581</v>
      </c>
      <c r="H2" s="85">
        <f>F2/8</f>
        <v>34.375</v>
      </c>
      <c r="I2" s="10" t="s">
        <v>17</v>
      </c>
      <c r="J2" s="9">
        <v>1</v>
      </c>
      <c r="K2" s="13">
        <f>H2/40</f>
        <v>0.859375</v>
      </c>
      <c r="L2" s="30">
        <f>K2/2.59*100</f>
        <v>33.180501930501933</v>
      </c>
      <c r="M2" s="30">
        <f t="shared" ref="M2:M48" si="0">L2*J2</f>
        <v>33.180501930501933</v>
      </c>
      <c r="Q2" s="118"/>
      <c r="R2" s="24"/>
    </row>
    <row r="3" spans="1:18">
      <c r="E3" s="162" t="s">
        <v>1152</v>
      </c>
      <c r="F3" s="53">
        <v>1</v>
      </c>
      <c r="G3" s="53" t="s">
        <v>161</v>
      </c>
      <c r="H3" s="85">
        <f t="shared" ref="H3:H11" si="1">F3/8</f>
        <v>0.125</v>
      </c>
      <c r="K3" s="18">
        <v>0</v>
      </c>
      <c r="L3" s="30">
        <f t="shared" ref="L3:L11" si="2">K3/2.59*100</f>
        <v>0</v>
      </c>
      <c r="M3" s="30">
        <f t="shared" si="0"/>
        <v>0</v>
      </c>
    </row>
    <row r="4" spans="1:18">
      <c r="E4" s="63" t="s">
        <v>1276</v>
      </c>
      <c r="F4" s="53">
        <v>1</v>
      </c>
      <c r="G4" s="53" t="s">
        <v>160</v>
      </c>
      <c r="H4" s="85">
        <f t="shared" si="1"/>
        <v>0.125</v>
      </c>
      <c r="K4" s="18">
        <v>0</v>
      </c>
      <c r="L4" s="30">
        <f t="shared" si="2"/>
        <v>0</v>
      </c>
      <c r="M4" s="30">
        <f t="shared" si="0"/>
        <v>0</v>
      </c>
      <c r="Q4" s="121">
        <v>0.31</v>
      </c>
    </row>
    <row r="5" spans="1:18">
      <c r="E5" s="162" t="s">
        <v>1144</v>
      </c>
      <c r="F5" s="53">
        <v>1</v>
      </c>
      <c r="G5" s="53" t="s">
        <v>161</v>
      </c>
      <c r="H5" s="85">
        <f t="shared" si="1"/>
        <v>0.125</v>
      </c>
      <c r="K5" s="18">
        <f>0.61/34</f>
        <v>1.7941176470588235E-2</v>
      </c>
      <c r="L5" s="30">
        <f t="shared" si="2"/>
        <v>0.69270951623892807</v>
      </c>
      <c r="M5" s="30">
        <f t="shared" si="0"/>
        <v>0</v>
      </c>
    </row>
    <row r="6" spans="1:18">
      <c r="E6" s="162" t="s">
        <v>1266</v>
      </c>
      <c r="F6" s="53">
        <v>3</v>
      </c>
      <c r="G6" s="53" t="s">
        <v>49</v>
      </c>
      <c r="H6" s="85">
        <f t="shared" si="1"/>
        <v>0.375</v>
      </c>
      <c r="K6" s="18">
        <v>0</v>
      </c>
      <c r="L6" s="30">
        <f t="shared" si="2"/>
        <v>0</v>
      </c>
      <c r="M6" s="30">
        <f t="shared" si="0"/>
        <v>0</v>
      </c>
    </row>
    <row r="7" spans="1:18">
      <c r="E7" s="162" t="s">
        <v>1262</v>
      </c>
      <c r="F7" s="53">
        <v>1</v>
      </c>
      <c r="G7" s="53" t="s">
        <v>49</v>
      </c>
      <c r="H7" s="85">
        <f t="shared" si="1"/>
        <v>0.125</v>
      </c>
      <c r="K7" s="18">
        <f>29.47/50</f>
        <v>0.58939999999999992</v>
      </c>
      <c r="L7" s="30">
        <f t="shared" si="2"/>
        <v>22.756756756756754</v>
      </c>
      <c r="M7" s="30">
        <f t="shared" si="0"/>
        <v>0</v>
      </c>
    </row>
    <row r="8" spans="1:18">
      <c r="E8" s="162" t="s">
        <v>1263</v>
      </c>
      <c r="F8" s="53">
        <v>1</v>
      </c>
      <c r="G8" s="53" t="s">
        <v>160</v>
      </c>
      <c r="H8" s="85">
        <f t="shared" si="1"/>
        <v>0.125</v>
      </c>
      <c r="K8" s="18">
        <v>0</v>
      </c>
      <c r="L8" s="30">
        <f t="shared" si="2"/>
        <v>0</v>
      </c>
      <c r="M8" s="30">
        <f t="shared" si="0"/>
        <v>0</v>
      </c>
    </row>
    <row r="9" spans="1:18">
      <c r="E9" s="162" t="s">
        <v>1116</v>
      </c>
      <c r="F9" s="53">
        <v>1</v>
      </c>
      <c r="G9" s="53" t="s">
        <v>161</v>
      </c>
      <c r="H9" s="85">
        <f t="shared" si="1"/>
        <v>0.125</v>
      </c>
      <c r="K9" s="18">
        <f>0.61/70</f>
        <v>8.7142857142857143E-3</v>
      </c>
      <c r="L9" s="30">
        <f t="shared" si="2"/>
        <v>0.33645890788747934</v>
      </c>
      <c r="M9" s="30">
        <f t="shared" si="0"/>
        <v>0</v>
      </c>
    </row>
    <row r="10" spans="1:18">
      <c r="E10" s="163" t="s">
        <v>1265</v>
      </c>
      <c r="F10" s="53">
        <v>24</v>
      </c>
      <c r="G10" s="53" t="s">
        <v>163</v>
      </c>
      <c r="H10" s="85">
        <f t="shared" si="1"/>
        <v>3</v>
      </c>
      <c r="I10" s="10" t="s">
        <v>702</v>
      </c>
      <c r="J10" s="9">
        <v>2</v>
      </c>
      <c r="K10" s="18">
        <v>1</v>
      </c>
      <c r="L10" s="30">
        <f t="shared" si="2"/>
        <v>38.610038610038607</v>
      </c>
      <c r="M10" s="30">
        <f t="shared" si="0"/>
        <v>77.220077220077215</v>
      </c>
    </row>
    <row r="11" spans="1:18">
      <c r="E11" s="162" t="s">
        <v>1116</v>
      </c>
      <c r="F11" s="53">
        <f>1/8</f>
        <v>0.125</v>
      </c>
      <c r="G11" s="53" t="s">
        <v>49</v>
      </c>
      <c r="H11" s="85">
        <f t="shared" si="1"/>
        <v>1.5625E-2</v>
      </c>
      <c r="I11" s="10" t="s">
        <v>23</v>
      </c>
      <c r="J11" s="9">
        <v>5</v>
      </c>
      <c r="K11" s="18">
        <f>4.53/40</f>
        <v>0.11325</v>
      </c>
      <c r="L11" s="30">
        <f t="shared" si="2"/>
        <v>4.3725868725868731</v>
      </c>
      <c r="M11" s="30">
        <f t="shared" si="0"/>
        <v>21.862934362934364</v>
      </c>
    </row>
    <row r="12" spans="1:18" ht="17.25" thickBot="1">
      <c r="A12" s="123"/>
      <c r="B12" s="123"/>
      <c r="C12" s="123"/>
      <c r="D12" s="123"/>
      <c r="E12" s="40"/>
      <c r="F12" s="40"/>
      <c r="G12" s="40"/>
      <c r="H12" s="124"/>
      <c r="I12" s="123"/>
      <c r="J12" s="123"/>
      <c r="K12" s="26">
        <f>SUM(K2:K11)</f>
        <v>2.5886804621848736</v>
      </c>
      <c r="L12" s="125">
        <f>SUM(L2:L11)</f>
        <v>99.949052594010567</v>
      </c>
      <c r="M12" s="123"/>
      <c r="N12" s="125">
        <f>SUM(M2:M11)</f>
        <v>132.26351351351352</v>
      </c>
      <c r="O12" s="123"/>
      <c r="P12" s="40" t="s">
        <v>77</v>
      </c>
      <c r="Q12" s="126">
        <v>0.31</v>
      </c>
      <c r="R12" s="127"/>
    </row>
    <row r="13" spans="1:18">
      <c r="A13">
        <v>2</v>
      </c>
      <c r="B13" s="7" t="s">
        <v>703</v>
      </c>
      <c r="C13" t="s">
        <v>1297</v>
      </c>
      <c r="D13" s="6" t="s">
        <v>701</v>
      </c>
      <c r="E13" s="63" t="s">
        <v>1267</v>
      </c>
      <c r="F13" s="53">
        <v>200</v>
      </c>
      <c r="G13" s="29" t="s">
        <v>581</v>
      </c>
      <c r="H13" s="85">
        <f>F13/2</f>
        <v>100</v>
      </c>
      <c r="I13" s="10" t="s">
        <v>27</v>
      </c>
      <c r="J13" s="9">
        <v>3</v>
      </c>
      <c r="K13" s="18">
        <f>H13/40</f>
        <v>2.5</v>
      </c>
      <c r="L13" s="30">
        <f>K13/6.07*100</f>
        <v>41.186161449752881</v>
      </c>
      <c r="M13" s="30">
        <f t="shared" si="0"/>
        <v>123.55848434925863</v>
      </c>
    </row>
    <row r="14" spans="1:18">
      <c r="E14" s="63" t="s">
        <v>1268</v>
      </c>
      <c r="F14" s="53">
        <v>1</v>
      </c>
      <c r="G14" s="53" t="s">
        <v>161</v>
      </c>
      <c r="H14" s="85">
        <f t="shared" ref="H14:H26" si="3">F14/2</f>
        <v>0.5</v>
      </c>
      <c r="K14" s="18">
        <f>2.35/34</f>
        <v>6.9117647058823534E-2</v>
      </c>
      <c r="L14" s="30">
        <f t="shared" ref="L14:L26" si="4">K14/6.07*100</f>
        <v>1.1386762283166973</v>
      </c>
      <c r="M14" s="30">
        <f t="shared" si="0"/>
        <v>0</v>
      </c>
    </row>
    <row r="15" spans="1:18">
      <c r="E15" s="63" t="s">
        <v>1269</v>
      </c>
      <c r="F15" s="53">
        <v>8</v>
      </c>
      <c r="G15" s="53" t="s">
        <v>581</v>
      </c>
      <c r="H15" s="85">
        <f t="shared" si="3"/>
        <v>4</v>
      </c>
      <c r="I15" s="10" t="s">
        <v>135</v>
      </c>
      <c r="J15" s="9">
        <v>2</v>
      </c>
      <c r="K15" s="18">
        <v>0.5</v>
      </c>
      <c r="L15" s="30">
        <f t="shared" si="4"/>
        <v>8.2372322899505761</v>
      </c>
      <c r="M15" s="30">
        <f t="shared" si="0"/>
        <v>16.474464579901152</v>
      </c>
    </row>
    <row r="16" spans="1:18">
      <c r="E16" s="162" t="s">
        <v>1145</v>
      </c>
      <c r="F16" s="53">
        <v>1</v>
      </c>
      <c r="G16" s="53" t="s">
        <v>160</v>
      </c>
      <c r="H16" s="85">
        <f t="shared" si="3"/>
        <v>0.5</v>
      </c>
      <c r="I16" s="10" t="s">
        <v>704</v>
      </c>
      <c r="J16" s="9">
        <v>5</v>
      </c>
      <c r="K16" s="18">
        <v>1</v>
      </c>
      <c r="L16" s="30">
        <f t="shared" si="4"/>
        <v>16.474464579901152</v>
      </c>
      <c r="M16" s="30">
        <f t="shared" si="0"/>
        <v>82.372322899505761</v>
      </c>
    </row>
    <row r="17" spans="1:18">
      <c r="E17" s="63" t="s">
        <v>1270</v>
      </c>
      <c r="F17" s="53">
        <v>1</v>
      </c>
      <c r="G17" s="53" t="s">
        <v>160</v>
      </c>
      <c r="H17" s="85">
        <f t="shared" si="3"/>
        <v>0.5</v>
      </c>
      <c r="K17" s="18">
        <v>0</v>
      </c>
      <c r="L17" s="30">
        <f t="shared" si="4"/>
        <v>0</v>
      </c>
      <c r="M17" s="30">
        <f t="shared" si="0"/>
        <v>0</v>
      </c>
    </row>
    <row r="18" spans="1:18">
      <c r="E18" s="63" t="s">
        <v>1271</v>
      </c>
      <c r="F18" s="53">
        <v>1.5</v>
      </c>
      <c r="G18" s="53" t="s">
        <v>160</v>
      </c>
      <c r="H18" s="85">
        <f t="shared" si="3"/>
        <v>0.75</v>
      </c>
      <c r="K18" s="18">
        <v>0</v>
      </c>
      <c r="L18" s="30">
        <f t="shared" si="4"/>
        <v>0</v>
      </c>
      <c r="M18" s="30">
        <f t="shared" si="0"/>
        <v>0</v>
      </c>
      <c r="Q18" s="121">
        <v>1.27</v>
      </c>
    </row>
    <row r="19" spans="1:18">
      <c r="E19" s="63" t="s">
        <v>1273</v>
      </c>
      <c r="F19" s="53">
        <v>1</v>
      </c>
      <c r="G19" s="53" t="s">
        <v>160</v>
      </c>
      <c r="H19" s="85">
        <f t="shared" si="3"/>
        <v>0.5</v>
      </c>
      <c r="K19" s="18">
        <v>0</v>
      </c>
      <c r="L19" s="30">
        <f t="shared" si="4"/>
        <v>0</v>
      </c>
      <c r="M19" s="30">
        <f t="shared" si="0"/>
        <v>0</v>
      </c>
    </row>
    <row r="20" spans="1:18">
      <c r="E20" s="63" t="s">
        <v>1118</v>
      </c>
      <c r="F20" s="53">
        <v>1</v>
      </c>
      <c r="G20" s="53" t="s">
        <v>160</v>
      </c>
      <c r="H20" s="85">
        <f t="shared" si="3"/>
        <v>0.5</v>
      </c>
      <c r="I20" s="10" t="s">
        <v>16</v>
      </c>
      <c r="J20" s="9">
        <v>5</v>
      </c>
      <c r="K20" s="18">
        <v>1</v>
      </c>
      <c r="L20" s="30">
        <f t="shared" si="4"/>
        <v>16.474464579901152</v>
      </c>
      <c r="M20" s="30">
        <f t="shared" si="0"/>
        <v>82.372322899505761</v>
      </c>
    </row>
    <row r="21" spans="1:18">
      <c r="E21" s="63" t="s">
        <v>1274</v>
      </c>
      <c r="F21" s="53">
        <v>30</v>
      </c>
      <c r="G21" s="29" t="s">
        <v>581</v>
      </c>
      <c r="H21" s="85">
        <f t="shared" si="3"/>
        <v>15</v>
      </c>
      <c r="I21" s="10" t="s">
        <v>17</v>
      </c>
      <c r="J21" s="9">
        <v>1</v>
      </c>
      <c r="K21" s="18">
        <v>0.5</v>
      </c>
      <c r="L21" s="30">
        <f t="shared" si="4"/>
        <v>8.2372322899505761</v>
      </c>
      <c r="M21" s="30">
        <f t="shared" si="0"/>
        <v>8.2372322899505761</v>
      </c>
    </row>
    <row r="22" spans="1:18">
      <c r="E22" s="162" t="s">
        <v>1116</v>
      </c>
      <c r="F22" s="53">
        <v>1</v>
      </c>
      <c r="G22" s="53" t="s">
        <v>163</v>
      </c>
      <c r="H22" s="85">
        <f t="shared" si="3"/>
        <v>0.5</v>
      </c>
      <c r="I22" s="10" t="s">
        <v>704</v>
      </c>
      <c r="J22" s="9">
        <v>5</v>
      </c>
      <c r="K22" s="18">
        <v>0.5</v>
      </c>
      <c r="L22" s="30">
        <f t="shared" si="4"/>
        <v>8.2372322899505761</v>
      </c>
      <c r="M22" s="30">
        <f t="shared" si="0"/>
        <v>41.186161449752881</v>
      </c>
    </row>
    <row r="23" spans="1:18">
      <c r="E23" s="63" t="s">
        <v>1276</v>
      </c>
      <c r="F23" s="53">
        <v>1</v>
      </c>
      <c r="G23" s="53" t="s">
        <v>160</v>
      </c>
      <c r="H23" s="85">
        <f t="shared" si="3"/>
        <v>0.5</v>
      </c>
      <c r="K23" s="18">
        <v>0</v>
      </c>
      <c r="L23" s="30">
        <f t="shared" si="4"/>
        <v>0</v>
      </c>
      <c r="M23" s="30">
        <f t="shared" si="0"/>
        <v>0</v>
      </c>
      <c r="Q23" s="121">
        <v>1.2</v>
      </c>
    </row>
    <row r="24" spans="1:18">
      <c r="E24" s="63" t="s">
        <v>1275</v>
      </c>
      <c r="F24" s="53">
        <v>2</v>
      </c>
      <c r="G24" s="53" t="s">
        <v>160</v>
      </c>
      <c r="H24" s="85">
        <f t="shared" si="3"/>
        <v>1</v>
      </c>
      <c r="K24" s="18">
        <v>0</v>
      </c>
      <c r="L24" s="30">
        <f t="shared" si="4"/>
        <v>0</v>
      </c>
      <c r="M24" s="30">
        <f t="shared" si="0"/>
        <v>0</v>
      </c>
    </row>
    <row r="25" spans="1:18">
      <c r="E25" s="63" t="s">
        <v>1260</v>
      </c>
      <c r="F25" s="53">
        <v>1.5</v>
      </c>
      <c r="G25" s="53" t="s">
        <v>160</v>
      </c>
      <c r="H25" s="85">
        <f t="shared" si="3"/>
        <v>0.75</v>
      </c>
      <c r="K25" s="18">
        <v>0</v>
      </c>
      <c r="L25" s="30">
        <f t="shared" si="4"/>
        <v>0</v>
      </c>
      <c r="M25" s="30">
        <f t="shared" si="0"/>
        <v>0</v>
      </c>
    </row>
    <row r="26" spans="1:18">
      <c r="E26" s="63" t="s">
        <v>1129</v>
      </c>
      <c r="F26" s="53">
        <v>50</v>
      </c>
      <c r="G26" s="29" t="s">
        <v>581</v>
      </c>
      <c r="H26" s="122">
        <f t="shared" si="3"/>
        <v>25</v>
      </c>
      <c r="K26" s="18">
        <v>0</v>
      </c>
      <c r="L26" s="30">
        <f t="shared" si="4"/>
        <v>0</v>
      </c>
      <c r="M26" s="30">
        <f t="shared" si="0"/>
        <v>0</v>
      </c>
      <c r="R26" s="116">
        <v>25</v>
      </c>
    </row>
    <row r="27" spans="1:18" ht="17.25" thickBot="1">
      <c r="A27" s="123"/>
      <c r="B27" s="123"/>
      <c r="C27" s="123"/>
      <c r="D27" s="123"/>
      <c r="E27" s="40"/>
      <c r="F27" s="40"/>
      <c r="G27" s="40"/>
      <c r="H27" s="124"/>
      <c r="I27" s="123"/>
      <c r="J27" s="123"/>
      <c r="K27" s="26">
        <f>SUM(K13:K26)</f>
        <v>6.0691176470588237</v>
      </c>
      <c r="L27" s="125">
        <f>SUM(L13:L26)</f>
        <v>99.985463707723625</v>
      </c>
      <c r="M27" s="123"/>
      <c r="N27" s="125">
        <f>SUM(M13:M26)</f>
        <v>354.20098846787477</v>
      </c>
      <c r="O27" s="123" t="s">
        <v>64</v>
      </c>
      <c r="P27" s="40" t="s">
        <v>49</v>
      </c>
      <c r="Q27" s="126">
        <f>SUM(Q13:Q26)</f>
        <v>2.4699999999999998</v>
      </c>
      <c r="R27" s="127">
        <f>SUM(R13:R26)</f>
        <v>25</v>
      </c>
    </row>
    <row r="28" spans="1:18">
      <c r="A28">
        <v>3</v>
      </c>
      <c r="B28" s="7" t="s">
        <v>706</v>
      </c>
      <c r="C28" t="s">
        <v>1298</v>
      </c>
      <c r="D28" s="171" t="s">
        <v>1368</v>
      </c>
      <c r="E28" s="170" t="s">
        <v>1154</v>
      </c>
      <c r="F28" s="53">
        <v>420</v>
      </c>
      <c r="G28" s="29" t="s">
        <v>581</v>
      </c>
      <c r="H28" s="85">
        <f>F28/4</f>
        <v>105</v>
      </c>
      <c r="I28" s="10" t="s">
        <v>23</v>
      </c>
      <c r="J28" s="9">
        <v>5</v>
      </c>
      <c r="K28" s="18">
        <f>H28/70</f>
        <v>1.5</v>
      </c>
      <c r="L28" s="30">
        <f>K28/2.85*100</f>
        <v>52.631578947368418</v>
      </c>
      <c r="M28" s="30">
        <f t="shared" si="0"/>
        <v>263.15789473684208</v>
      </c>
    </row>
    <row r="29" spans="1:18">
      <c r="E29" s="170" t="s">
        <v>1252</v>
      </c>
      <c r="F29" s="53">
        <v>105</v>
      </c>
      <c r="G29" s="29" t="s">
        <v>581</v>
      </c>
      <c r="H29" s="85">
        <f t="shared" ref="H29:H36" si="5">F29/4</f>
        <v>26.25</v>
      </c>
      <c r="I29" s="10" t="s">
        <v>23</v>
      </c>
      <c r="J29" s="9">
        <v>5</v>
      </c>
      <c r="K29" s="18">
        <f>H29/70</f>
        <v>0.375</v>
      </c>
      <c r="L29" s="30">
        <f t="shared" ref="L29:L36" si="6">K29/2.85*100</f>
        <v>13.157894736842104</v>
      </c>
      <c r="M29" s="30">
        <f t="shared" si="0"/>
        <v>65.78947368421052</v>
      </c>
    </row>
    <row r="30" spans="1:18">
      <c r="E30" s="170" t="s">
        <v>1057</v>
      </c>
      <c r="F30" s="53">
        <v>21</v>
      </c>
      <c r="G30" s="29" t="s">
        <v>581</v>
      </c>
      <c r="H30" s="85">
        <f t="shared" si="5"/>
        <v>5.25</v>
      </c>
      <c r="I30" s="10" t="s">
        <v>16</v>
      </c>
      <c r="J30" s="9">
        <v>5</v>
      </c>
      <c r="K30" s="18">
        <f>H30/7</f>
        <v>0.75</v>
      </c>
      <c r="L30" s="30">
        <f t="shared" si="6"/>
        <v>26.315789473684209</v>
      </c>
      <c r="M30" s="30">
        <f t="shared" si="0"/>
        <v>131.57894736842104</v>
      </c>
    </row>
    <row r="31" spans="1:18">
      <c r="E31" s="63" t="s">
        <v>1276</v>
      </c>
      <c r="F31" s="53">
        <v>2</v>
      </c>
      <c r="G31" s="53" t="s">
        <v>161</v>
      </c>
      <c r="H31" s="85">
        <f t="shared" si="5"/>
        <v>0.5</v>
      </c>
      <c r="K31" s="18">
        <v>0</v>
      </c>
      <c r="L31" s="30">
        <f t="shared" si="6"/>
        <v>0</v>
      </c>
      <c r="M31" s="30">
        <f t="shared" si="0"/>
        <v>0</v>
      </c>
      <c r="Q31" s="121">
        <v>0.36</v>
      </c>
    </row>
    <row r="32" spans="1:18">
      <c r="E32" s="63" t="s">
        <v>1260</v>
      </c>
      <c r="F32" s="53">
        <v>2</v>
      </c>
      <c r="G32" s="53" t="s">
        <v>161</v>
      </c>
      <c r="H32" s="85">
        <f t="shared" si="5"/>
        <v>0.5</v>
      </c>
      <c r="K32" s="18">
        <v>0</v>
      </c>
      <c r="L32" s="30">
        <f t="shared" si="6"/>
        <v>0</v>
      </c>
      <c r="M32" s="30">
        <f t="shared" si="0"/>
        <v>0</v>
      </c>
    </row>
    <row r="33" spans="1:18">
      <c r="E33" s="63" t="s">
        <v>1274</v>
      </c>
      <c r="F33" s="53">
        <v>3</v>
      </c>
      <c r="G33" s="53" t="s">
        <v>705</v>
      </c>
      <c r="H33" s="85">
        <f t="shared" si="5"/>
        <v>0.75</v>
      </c>
      <c r="I33" s="10" t="s">
        <v>702</v>
      </c>
      <c r="J33" s="9">
        <v>2</v>
      </c>
      <c r="K33" s="18">
        <f>3.54/30</f>
        <v>0.11800000000000001</v>
      </c>
      <c r="L33" s="30">
        <f t="shared" si="6"/>
        <v>4.140350877192982</v>
      </c>
      <c r="M33" s="30">
        <f t="shared" si="0"/>
        <v>8.280701754385964</v>
      </c>
    </row>
    <row r="34" spans="1:18">
      <c r="E34" s="63" t="s">
        <v>1133</v>
      </c>
      <c r="F34" s="53">
        <v>1.5</v>
      </c>
      <c r="G34" s="53" t="s">
        <v>705</v>
      </c>
      <c r="H34" s="85">
        <f t="shared" si="5"/>
        <v>0.375</v>
      </c>
      <c r="K34" s="18">
        <v>0</v>
      </c>
      <c r="L34" s="30">
        <f t="shared" si="6"/>
        <v>0</v>
      </c>
      <c r="M34" s="30">
        <f t="shared" si="0"/>
        <v>0</v>
      </c>
      <c r="Q34" s="121">
        <v>1.8</v>
      </c>
    </row>
    <row r="35" spans="1:18">
      <c r="E35" s="63" t="s">
        <v>1277</v>
      </c>
      <c r="F35" s="53">
        <v>1</v>
      </c>
      <c r="G35" s="53" t="s">
        <v>163</v>
      </c>
      <c r="H35" s="85">
        <f t="shared" si="5"/>
        <v>0.25</v>
      </c>
      <c r="I35" s="10" t="s">
        <v>704</v>
      </c>
      <c r="J35" s="9">
        <v>5</v>
      </c>
      <c r="K35" s="18">
        <f>4.1/40</f>
        <v>0.10249999999999999</v>
      </c>
      <c r="L35" s="30">
        <f t="shared" si="6"/>
        <v>3.5964912280701746</v>
      </c>
      <c r="M35" s="30">
        <f t="shared" si="0"/>
        <v>17.982456140350873</v>
      </c>
    </row>
    <row r="36" spans="1:18">
      <c r="E36" s="63" t="s">
        <v>1129</v>
      </c>
      <c r="F36" s="53">
        <v>42</v>
      </c>
      <c r="G36" s="29" t="s">
        <v>581</v>
      </c>
      <c r="H36" s="85">
        <f t="shared" si="5"/>
        <v>10.5</v>
      </c>
      <c r="K36" s="18">
        <v>0</v>
      </c>
      <c r="L36" s="30">
        <f t="shared" si="6"/>
        <v>0</v>
      </c>
      <c r="M36" s="30">
        <f t="shared" si="0"/>
        <v>0</v>
      </c>
      <c r="R36" s="116">
        <v>10.5</v>
      </c>
    </row>
    <row r="37" spans="1:18" ht="17.25" thickBot="1">
      <c r="A37" s="123"/>
      <c r="B37" s="123"/>
      <c r="C37" s="123"/>
      <c r="D37" s="123"/>
      <c r="E37" s="40"/>
      <c r="F37" s="40"/>
      <c r="G37" s="40"/>
      <c r="H37" s="124"/>
      <c r="I37" s="123"/>
      <c r="J37" s="123"/>
      <c r="K37" s="26">
        <f>SUM(K28:K36)</f>
        <v>2.8454999999999999</v>
      </c>
      <c r="L37" s="125">
        <f>SUM(L28:L35)</f>
        <v>99.84210526315789</v>
      </c>
      <c r="M37" s="123"/>
      <c r="N37" s="125">
        <f>SUM(M28:M36)</f>
        <v>486.78947368421046</v>
      </c>
      <c r="O37" s="123" t="s">
        <v>36</v>
      </c>
      <c r="P37" s="40" t="s">
        <v>59</v>
      </c>
      <c r="Q37" s="126">
        <f>SUM(Q28:Q36)</f>
        <v>2.16</v>
      </c>
      <c r="R37" s="127">
        <v>10.5</v>
      </c>
    </row>
    <row r="38" spans="1:18">
      <c r="A38">
        <v>4</v>
      </c>
      <c r="B38" s="7" t="s">
        <v>707</v>
      </c>
      <c r="C38" t="s">
        <v>1299</v>
      </c>
      <c r="D38" s="135" t="s">
        <v>1305</v>
      </c>
      <c r="E38" s="170" t="s">
        <v>1259</v>
      </c>
      <c r="F38" s="53">
        <v>300</v>
      </c>
      <c r="G38" s="29" t="s">
        <v>581</v>
      </c>
      <c r="H38" s="85">
        <f>F38/3</f>
        <v>100</v>
      </c>
      <c r="I38" s="10" t="s">
        <v>17</v>
      </c>
      <c r="J38" s="9">
        <v>1</v>
      </c>
      <c r="K38" s="18">
        <f>H38/40</f>
        <v>2.5</v>
      </c>
      <c r="L38" s="30">
        <f>K38/5.11*100</f>
        <v>48.923679060665357</v>
      </c>
      <c r="M38" s="30">
        <f t="shared" si="0"/>
        <v>48.923679060665357</v>
      </c>
    </row>
    <row r="39" spans="1:18">
      <c r="E39" s="170" t="s">
        <v>1196</v>
      </c>
      <c r="F39" s="53">
        <v>20</v>
      </c>
      <c r="G39" s="29" t="s">
        <v>581</v>
      </c>
      <c r="H39" s="85">
        <f t="shared" ref="H39:H49" si="7">F39/3</f>
        <v>6.666666666666667</v>
      </c>
      <c r="I39" s="10" t="s">
        <v>704</v>
      </c>
      <c r="J39" s="9">
        <v>5</v>
      </c>
      <c r="K39" s="18">
        <f>H39/7</f>
        <v>0.95238095238095244</v>
      </c>
      <c r="L39" s="30">
        <f t="shared" ref="L39:L49" si="8">K39/5.11*100</f>
        <v>18.637592023110614</v>
      </c>
      <c r="M39" s="30">
        <f t="shared" si="0"/>
        <v>93.187960115553068</v>
      </c>
    </row>
    <row r="40" spans="1:18">
      <c r="E40" s="170" t="s">
        <v>1278</v>
      </c>
      <c r="F40" s="53">
        <v>20</v>
      </c>
      <c r="G40" s="29" t="s">
        <v>581</v>
      </c>
      <c r="H40" s="85">
        <f t="shared" si="7"/>
        <v>6.666666666666667</v>
      </c>
      <c r="I40" s="10" t="s">
        <v>704</v>
      </c>
      <c r="J40" s="9">
        <v>5</v>
      </c>
      <c r="K40" s="18">
        <f>H40/70</f>
        <v>9.5238095238095247E-2</v>
      </c>
      <c r="L40" s="30">
        <f t="shared" si="8"/>
        <v>1.8637592023110616</v>
      </c>
      <c r="M40" s="30">
        <f t="shared" si="0"/>
        <v>9.3187960115553086</v>
      </c>
    </row>
    <row r="41" spans="1:18">
      <c r="E41" s="170" t="s">
        <v>1192</v>
      </c>
      <c r="F41" s="53">
        <v>50</v>
      </c>
      <c r="G41" s="29" t="s">
        <v>581</v>
      </c>
      <c r="H41" s="85">
        <f t="shared" si="7"/>
        <v>16.666666666666668</v>
      </c>
      <c r="I41" s="10" t="s">
        <v>704</v>
      </c>
      <c r="J41" s="9">
        <v>5</v>
      </c>
      <c r="K41" s="18">
        <f>H41/70</f>
        <v>0.23809523809523811</v>
      </c>
      <c r="L41" s="30">
        <f t="shared" si="8"/>
        <v>4.6593980057776534</v>
      </c>
      <c r="M41" s="30">
        <f t="shared" si="0"/>
        <v>23.296990028888267</v>
      </c>
    </row>
    <row r="42" spans="1:18">
      <c r="E42" s="170" t="s">
        <v>1222</v>
      </c>
      <c r="F42" s="53">
        <v>30</v>
      </c>
      <c r="G42" s="29" t="s">
        <v>581</v>
      </c>
      <c r="H42" s="85">
        <f t="shared" si="7"/>
        <v>10</v>
      </c>
      <c r="K42" s="18">
        <v>0</v>
      </c>
      <c r="L42" s="30">
        <f t="shared" si="8"/>
        <v>0</v>
      </c>
      <c r="M42" s="30">
        <f t="shared" si="0"/>
        <v>0</v>
      </c>
      <c r="Q42" s="121">
        <v>0.81</v>
      </c>
    </row>
    <row r="43" spans="1:18">
      <c r="E43" s="170" t="s">
        <v>1116</v>
      </c>
      <c r="F43" s="53">
        <v>70</v>
      </c>
      <c r="G43" s="29" t="s">
        <v>581</v>
      </c>
      <c r="H43" s="85">
        <f t="shared" si="7"/>
        <v>23.333333333333332</v>
      </c>
      <c r="I43" s="10" t="s">
        <v>704</v>
      </c>
      <c r="J43" s="9">
        <v>5</v>
      </c>
      <c r="K43" s="18">
        <f>H43/40</f>
        <v>0.58333333333333326</v>
      </c>
      <c r="L43" s="30">
        <f t="shared" si="8"/>
        <v>11.415525114155249</v>
      </c>
      <c r="M43" s="30">
        <f t="shared" si="0"/>
        <v>57.077625570776249</v>
      </c>
    </row>
    <row r="44" spans="1:18">
      <c r="E44" s="170" t="s">
        <v>1144</v>
      </c>
      <c r="F44" s="53">
        <v>14</v>
      </c>
      <c r="G44" s="29" t="s">
        <v>581</v>
      </c>
      <c r="H44" s="85">
        <f t="shared" si="7"/>
        <v>4.666666666666667</v>
      </c>
      <c r="I44" s="10" t="s">
        <v>704</v>
      </c>
      <c r="J44" s="9">
        <v>5</v>
      </c>
      <c r="K44" s="18">
        <f>H44/34</f>
        <v>0.13725490196078433</v>
      </c>
      <c r="L44" s="30">
        <f t="shared" si="8"/>
        <v>2.6860059092130002</v>
      </c>
      <c r="M44" s="30">
        <f t="shared" si="0"/>
        <v>13.430029546065001</v>
      </c>
    </row>
    <row r="45" spans="1:18">
      <c r="E45" s="170" t="s">
        <v>1151</v>
      </c>
      <c r="F45" s="53">
        <v>1</v>
      </c>
      <c r="G45" s="53" t="s">
        <v>705</v>
      </c>
      <c r="H45" s="85">
        <f t="shared" si="7"/>
        <v>0.33333333333333331</v>
      </c>
      <c r="K45" s="18">
        <v>0</v>
      </c>
      <c r="L45" s="30">
        <f t="shared" si="8"/>
        <v>0</v>
      </c>
      <c r="M45" s="30">
        <f t="shared" si="0"/>
        <v>0</v>
      </c>
      <c r="Q45" s="121">
        <v>0.73</v>
      </c>
    </row>
    <row r="46" spans="1:18">
      <c r="E46" s="170" t="s">
        <v>1275</v>
      </c>
      <c r="F46" s="53">
        <v>2</v>
      </c>
      <c r="G46" s="53" t="s">
        <v>161</v>
      </c>
      <c r="H46" s="85">
        <f t="shared" si="7"/>
        <v>0.66666666666666663</v>
      </c>
      <c r="K46" s="18">
        <v>0</v>
      </c>
      <c r="L46" s="30">
        <f t="shared" si="8"/>
        <v>0</v>
      </c>
      <c r="M46" s="30">
        <f t="shared" si="0"/>
        <v>0</v>
      </c>
    </row>
    <row r="47" spans="1:18">
      <c r="E47" s="170" t="s">
        <v>1279</v>
      </c>
      <c r="F47" s="53">
        <v>3</v>
      </c>
      <c r="G47" s="53" t="s">
        <v>161</v>
      </c>
      <c r="H47" s="85">
        <f t="shared" si="7"/>
        <v>1</v>
      </c>
      <c r="K47" s="18">
        <v>0</v>
      </c>
      <c r="L47" s="30">
        <f t="shared" si="8"/>
        <v>0</v>
      </c>
      <c r="M47" s="30">
        <f t="shared" si="0"/>
        <v>0</v>
      </c>
    </row>
    <row r="48" spans="1:18">
      <c r="E48" s="170" t="s">
        <v>1219</v>
      </c>
      <c r="F48" s="53">
        <v>4</v>
      </c>
      <c r="G48" s="53" t="s">
        <v>161</v>
      </c>
      <c r="H48" s="85">
        <f t="shared" si="7"/>
        <v>1.3333333333333333</v>
      </c>
      <c r="I48" s="10" t="s">
        <v>702</v>
      </c>
      <c r="J48" s="9">
        <v>2</v>
      </c>
      <c r="K48" s="18">
        <f>18/30</f>
        <v>0.6</v>
      </c>
      <c r="L48" s="30">
        <f t="shared" si="8"/>
        <v>11.741682974559687</v>
      </c>
      <c r="M48" s="30">
        <f t="shared" si="0"/>
        <v>23.483365949119374</v>
      </c>
    </row>
    <row r="49" spans="1:18">
      <c r="E49" s="63" t="s">
        <v>1129</v>
      </c>
      <c r="F49" s="53">
        <v>30</v>
      </c>
      <c r="G49" s="29" t="s">
        <v>581</v>
      </c>
      <c r="H49" s="85">
        <f t="shared" si="7"/>
        <v>10</v>
      </c>
      <c r="I49" s="10"/>
      <c r="J49" s="9"/>
      <c r="K49" s="18">
        <v>0</v>
      </c>
      <c r="L49" s="30">
        <f t="shared" si="8"/>
        <v>0</v>
      </c>
      <c r="M49" s="30">
        <f t="shared" ref="M49" si="9">L49*J49</f>
        <v>0</v>
      </c>
      <c r="R49" s="116">
        <v>10</v>
      </c>
    </row>
    <row r="50" spans="1:18" ht="17.25" thickBot="1">
      <c r="A50" s="123"/>
      <c r="B50" s="123"/>
      <c r="C50" s="123"/>
      <c r="D50" s="123"/>
      <c r="E50" s="40"/>
      <c r="F50" s="40"/>
      <c r="G50" s="40"/>
      <c r="H50" s="86"/>
      <c r="I50" s="123"/>
      <c r="J50" s="123"/>
      <c r="K50" s="26">
        <f>SUM(K38:K49)</f>
        <v>5.1063025210084039</v>
      </c>
      <c r="L50" s="125">
        <f>SUM(L38:L48)</f>
        <v>99.92764228979263</v>
      </c>
      <c r="M50" s="123"/>
      <c r="N50" s="125">
        <f>SUM(M38:M48)</f>
        <v>268.71844628262266</v>
      </c>
      <c r="O50" s="123"/>
      <c r="P50" s="40" t="s">
        <v>13</v>
      </c>
      <c r="Q50" s="126">
        <f>SUM(Q38:Q48)</f>
        <v>1.54</v>
      </c>
      <c r="R50" s="127">
        <v>10</v>
      </c>
    </row>
    <row r="51" spans="1:18">
      <c r="A51">
        <v>5</v>
      </c>
      <c r="B51" s="7" t="s">
        <v>708</v>
      </c>
      <c r="C51" t="s">
        <v>1300</v>
      </c>
      <c r="D51" s="135" t="s">
        <v>1305</v>
      </c>
      <c r="E51" s="170" t="s">
        <v>1122</v>
      </c>
      <c r="F51" s="53">
        <v>200</v>
      </c>
      <c r="G51" s="29" t="s">
        <v>581</v>
      </c>
      <c r="H51" s="85">
        <f>F51/2</f>
        <v>100</v>
      </c>
      <c r="I51" s="10" t="s">
        <v>709</v>
      </c>
      <c r="J51" s="9">
        <v>4</v>
      </c>
      <c r="K51" s="18">
        <f>H51/80</f>
        <v>1.25</v>
      </c>
      <c r="L51" s="30">
        <f>K51/3.11*100</f>
        <v>40.19292604501608</v>
      </c>
      <c r="M51" s="30">
        <f t="shared" ref="M51:M90" si="10">L51*J51</f>
        <v>160.77170418006432</v>
      </c>
    </row>
    <row r="52" spans="1:18">
      <c r="E52" s="170" t="s">
        <v>1116</v>
      </c>
      <c r="F52" s="53">
        <v>20</v>
      </c>
      <c r="G52" s="29" t="s">
        <v>581</v>
      </c>
      <c r="H52" s="85">
        <f t="shared" ref="H52:H62" si="11">F52/2</f>
        <v>10</v>
      </c>
      <c r="I52" s="10" t="s">
        <v>704</v>
      </c>
      <c r="J52" s="9">
        <v>5</v>
      </c>
      <c r="K52" s="18">
        <f>H52/40</f>
        <v>0.25</v>
      </c>
      <c r="L52" s="30">
        <f t="shared" ref="L52:L62" si="12">K52/3.11*100</f>
        <v>8.0385852090032159</v>
      </c>
      <c r="M52" s="30">
        <f t="shared" si="10"/>
        <v>40.19292604501608</v>
      </c>
    </row>
    <row r="53" spans="1:18">
      <c r="E53" s="170" t="s">
        <v>1144</v>
      </c>
      <c r="F53" s="53">
        <v>5</v>
      </c>
      <c r="G53" s="29" t="s">
        <v>581</v>
      </c>
      <c r="H53" s="85">
        <f t="shared" si="11"/>
        <v>2.5</v>
      </c>
      <c r="I53" s="10" t="s">
        <v>704</v>
      </c>
      <c r="J53" s="9">
        <v>5</v>
      </c>
      <c r="K53" s="18">
        <f>H53/34</f>
        <v>7.3529411764705885E-2</v>
      </c>
      <c r="L53" s="30">
        <f t="shared" si="12"/>
        <v>2.364289767353887</v>
      </c>
      <c r="M53" s="30">
        <f t="shared" si="10"/>
        <v>11.821448836769434</v>
      </c>
    </row>
    <row r="54" spans="1:18">
      <c r="E54" s="170" t="s">
        <v>1280</v>
      </c>
      <c r="F54" s="53">
        <v>1</v>
      </c>
      <c r="G54" s="53" t="s">
        <v>160</v>
      </c>
      <c r="H54" s="85">
        <f t="shared" si="11"/>
        <v>0.5</v>
      </c>
      <c r="K54" s="18">
        <v>0</v>
      </c>
      <c r="L54" s="30">
        <f t="shared" si="12"/>
        <v>0</v>
      </c>
      <c r="M54" s="30">
        <f t="shared" si="10"/>
        <v>0</v>
      </c>
      <c r="Q54" s="121">
        <v>0.35</v>
      </c>
    </row>
    <row r="55" spans="1:18">
      <c r="E55" s="170" t="s">
        <v>1230</v>
      </c>
      <c r="F55" s="53">
        <v>0.5</v>
      </c>
      <c r="G55" s="53" t="s">
        <v>49</v>
      </c>
      <c r="H55" s="85">
        <f t="shared" si="11"/>
        <v>0.25</v>
      </c>
      <c r="K55" s="18">
        <v>0</v>
      </c>
      <c r="L55" s="30">
        <f t="shared" si="12"/>
        <v>0</v>
      </c>
      <c r="M55" s="30">
        <f t="shared" si="10"/>
        <v>0</v>
      </c>
    </row>
    <row r="56" spans="1:18">
      <c r="E56" s="170" t="s">
        <v>1264</v>
      </c>
      <c r="F56" s="53">
        <v>0.25</v>
      </c>
      <c r="G56" s="53" t="s">
        <v>161</v>
      </c>
      <c r="H56" s="85">
        <f t="shared" si="11"/>
        <v>0.125</v>
      </c>
      <c r="K56" s="18">
        <v>0</v>
      </c>
      <c r="L56" s="30">
        <f t="shared" si="12"/>
        <v>0</v>
      </c>
      <c r="M56" s="30">
        <f t="shared" si="10"/>
        <v>0</v>
      </c>
    </row>
    <row r="57" spans="1:18">
      <c r="E57" s="170" t="s">
        <v>1200</v>
      </c>
      <c r="F57" s="53">
        <v>60</v>
      </c>
      <c r="G57" s="29" t="s">
        <v>581</v>
      </c>
      <c r="H57" s="85">
        <f t="shared" si="11"/>
        <v>30</v>
      </c>
      <c r="I57" s="10" t="s">
        <v>17</v>
      </c>
      <c r="J57" s="9">
        <v>1</v>
      </c>
      <c r="K57" s="18">
        <f>H57/40</f>
        <v>0.75</v>
      </c>
      <c r="L57" s="30">
        <f t="shared" si="12"/>
        <v>24.115755627009648</v>
      </c>
      <c r="M57" s="30">
        <f t="shared" si="10"/>
        <v>24.115755627009648</v>
      </c>
    </row>
    <row r="58" spans="1:18">
      <c r="E58" s="170" t="s">
        <v>1118</v>
      </c>
      <c r="F58" s="53">
        <v>10</v>
      </c>
      <c r="G58" s="29" t="s">
        <v>581</v>
      </c>
      <c r="H58" s="85">
        <f t="shared" si="11"/>
        <v>5</v>
      </c>
      <c r="I58" s="10" t="s">
        <v>16</v>
      </c>
      <c r="J58" s="9">
        <v>5</v>
      </c>
      <c r="K58" s="18">
        <f>H58/7</f>
        <v>0.7142857142857143</v>
      </c>
      <c r="L58" s="30">
        <f t="shared" si="12"/>
        <v>22.96738631143776</v>
      </c>
      <c r="M58" s="30">
        <f t="shared" si="10"/>
        <v>114.83693155718881</v>
      </c>
    </row>
    <row r="59" spans="1:18">
      <c r="E59" s="170" t="s">
        <v>1281</v>
      </c>
      <c r="F59" s="53">
        <v>10</v>
      </c>
      <c r="G59" s="29" t="s">
        <v>581</v>
      </c>
      <c r="H59" s="85">
        <f t="shared" si="11"/>
        <v>5</v>
      </c>
      <c r="I59" s="10" t="s">
        <v>704</v>
      </c>
      <c r="J59" s="9">
        <v>5</v>
      </c>
      <c r="K59" s="18">
        <f>H59/70</f>
        <v>7.1428571428571425E-2</v>
      </c>
      <c r="L59" s="30">
        <f t="shared" si="12"/>
        <v>2.2967386311437759</v>
      </c>
      <c r="M59" s="30">
        <f t="shared" si="10"/>
        <v>11.483693155718878</v>
      </c>
    </row>
    <row r="60" spans="1:18">
      <c r="E60" s="170" t="s">
        <v>1282</v>
      </c>
      <c r="F60" s="53">
        <v>0.25</v>
      </c>
      <c r="G60" s="53" t="s">
        <v>161</v>
      </c>
      <c r="H60" s="85">
        <f t="shared" si="11"/>
        <v>0.125</v>
      </c>
      <c r="K60" s="18">
        <v>0</v>
      </c>
      <c r="L60" s="30">
        <f t="shared" si="12"/>
        <v>0</v>
      </c>
      <c r="M60" s="30">
        <f t="shared" si="10"/>
        <v>0</v>
      </c>
      <c r="R60" s="116">
        <v>0.65</v>
      </c>
    </row>
    <row r="61" spans="1:18">
      <c r="E61" s="170" t="s">
        <v>1274</v>
      </c>
      <c r="F61" s="53">
        <v>0.25</v>
      </c>
      <c r="G61" s="53" t="s">
        <v>49</v>
      </c>
      <c r="H61" s="85">
        <f t="shared" si="11"/>
        <v>0.125</v>
      </c>
      <c r="K61" s="18">
        <v>0</v>
      </c>
      <c r="L61" s="30">
        <f t="shared" si="12"/>
        <v>0</v>
      </c>
      <c r="M61" s="30">
        <f t="shared" si="10"/>
        <v>0</v>
      </c>
    </row>
    <row r="62" spans="1:18">
      <c r="E62" s="63" t="s">
        <v>1129</v>
      </c>
      <c r="F62" s="53">
        <v>20</v>
      </c>
      <c r="G62" s="29" t="s">
        <v>581</v>
      </c>
      <c r="H62" s="122">
        <f t="shared" si="11"/>
        <v>10</v>
      </c>
      <c r="K62" s="18">
        <v>0</v>
      </c>
      <c r="L62" s="30">
        <f t="shared" si="12"/>
        <v>0</v>
      </c>
      <c r="M62" s="30">
        <f t="shared" si="10"/>
        <v>0</v>
      </c>
      <c r="R62" s="116">
        <v>10</v>
      </c>
    </row>
    <row r="63" spans="1:18" ht="17.25" thickBot="1">
      <c r="A63" s="123"/>
      <c r="B63" s="123"/>
      <c r="C63" s="123"/>
      <c r="D63" s="123"/>
      <c r="E63" s="40"/>
      <c r="F63" s="40"/>
      <c r="G63" s="40"/>
      <c r="H63" s="124"/>
      <c r="I63" s="123"/>
      <c r="J63" s="123"/>
      <c r="K63" s="26">
        <f>SUM(K51:K62)</f>
        <v>3.1092436974789917</v>
      </c>
      <c r="L63" s="125">
        <f>SUM(L51:L62)</f>
        <v>99.975681590964385</v>
      </c>
      <c r="M63" s="123"/>
      <c r="N63" s="125">
        <f>SUM(M51:M62)</f>
        <v>363.22245940176714</v>
      </c>
      <c r="O63" s="123"/>
      <c r="P63" s="40" t="s">
        <v>59</v>
      </c>
      <c r="Q63" s="126">
        <v>0.35</v>
      </c>
      <c r="R63" s="127">
        <v>10.65</v>
      </c>
    </row>
    <row r="64" spans="1:18">
      <c r="A64">
        <v>6</v>
      </c>
      <c r="B64" s="7" t="s">
        <v>710</v>
      </c>
      <c r="C64" t="s">
        <v>1302</v>
      </c>
      <c r="D64" t="s">
        <v>1306</v>
      </c>
      <c r="E64" s="170" t="s">
        <v>1283</v>
      </c>
      <c r="F64" s="53">
        <v>200</v>
      </c>
      <c r="G64" s="29" t="s">
        <v>581</v>
      </c>
      <c r="H64" s="122">
        <f>F64/1</f>
        <v>200</v>
      </c>
      <c r="I64" s="10" t="s">
        <v>26</v>
      </c>
      <c r="J64" s="9">
        <v>4</v>
      </c>
      <c r="K64" s="18">
        <f>H64/350</f>
        <v>0.5714285714285714</v>
      </c>
      <c r="L64" s="30">
        <f>K64/4.07*100</f>
        <v>14.040014040014038</v>
      </c>
      <c r="M64" s="30">
        <f t="shared" si="10"/>
        <v>56.160056160056151</v>
      </c>
    </row>
    <row r="65" spans="1:18">
      <c r="E65" s="170" t="s">
        <v>418</v>
      </c>
      <c r="F65" s="53">
        <v>2</v>
      </c>
      <c r="G65" s="53" t="s">
        <v>163</v>
      </c>
      <c r="H65" s="122">
        <f t="shared" ref="H65:H71" si="13">F65/1</f>
        <v>2</v>
      </c>
      <c r="I65" s="10" t="s">
        <v>30</v>
      </c>
      <c r="J65" s="9">
        <v>2</v>
      </c>
      <c r="K65" s="18">
        <v>2</v>
      </c>
      <c r="L65" s="30">
        <f t="shared" ref="L65:L71" si="14">K65/4.07*100</f>
        <v>49.140049140049136</v>
      </c>
      <c r="M65" s="30">
        <f t="shared" si="10"/>
        <v>98.280098280098272</v>
      </c>
    </row>
    <row r="66" spans="1:18">
      <c r="E66" s="170" t="s">
        <v>1116</v>
      </c>
      <c r="F66" s="53">
        <v>35</v>
      </c>
      <c r="G66" s="29" t="s">
        <v>581</v>
      </c>
      <c r="H66" s="122">
        <f t="shared" si="13"/>
        <v>35</v>
      </c>
      <c r="I66" s="10" t="s">
        <v>704</v>
      </c>
      <c r="J66" s="9">
        <v>5</v>
      </c>
      <c r="K66" s="18">
        <v>0.5</v>
      </c>
      <c r="L66" s="30">
        <f t="shared" si="14"/>
        <v>12.285012285012284</v>
      </c>
      <c r="M66" s="30">
        <f t="shared" si="10"/>
        <v>61.425061425061422</v>
      </c>
    </row>
    <row r="67" spans="1:18">
      <c r="E67" s="63" t="s">
        <v>1129</v>
      </c>
      <c r="F67" s="53">
        <v>30</v>
      </c>
      <c r="G67" s="29" t="s">
        <v>581</v>
      </c>
      <c r="H67" s="122">
        <f t="shared" si="13"/>
        <v>30</v>
      </c>
      <c r="K67" s="18">
        <v>0</v>
      </c>
      <c r="L67" s="30">
        <f t="shared" si="14"/>
        <v>0</v>
      </c>
      <c r="M67" s="30">
        <f t="shared" si="10"/>
        <v>0</v>
      </c>
      <c r="R67" s="116">
        <v>30</v>
      </c>
    </row>
    <row r="68" spans="1:18">
      <c r="E68" s="63" t="s">
        <v>1284</v>
      </c>
      <c r="F68" s="53">
        <v>1</v>
      </c>
      <c r="G68" s="53" t="s">
        <v>163</v>
      </c>
      <c r="H68" s="122">
        <f t="shared" si="13"/>
        <v>1</v>
      </c>
      <c r="I68" s="10" t="s">
        <v>16</v>
      </c>
      <c r="J68" s="9">
        <v>5</v>
      </c>
      <c r="K68" s="18">
        <v>1</v>
      </c>
      <c r="L68" s="30">
        <f t="shared" si="14"/>
        <v>24.570024570024568</v>
      </c>
      <c r="M68" s="30">
        <f t="shared" si="10"/>
        <v>122.85012285012284</v>
      </c>
    </row>
    <row r="69" spans="1:18">
      <c r="E69" s="63" t="s">
        <v>1264</v>
      </c>
      <c r="F69" s="53">
        <v>1</v>
      </c>
      <c r="G69" s="53" t="s">
        <v>161</v>
      </c>
      <c r="H69" s="122">
        <f t="shared" si="13"/>
        <v>1</v>
      </c>
      <c r="K69" s="18">
        <v>0</v>
      </c>
      <c r="L69" s="30">
        <f t="shared" si="14"/>
        <v>0</v>
      </c>
      <c r="M69" s="30">
        <f t="shared" si="10"/>
        <v>0</v>
      </c>
    </row>
    <row r="70" spans="1:18">
      <c r="E70" s="63" t="s">
        <v>1260</v>
      </c>
      <c r="F70" s="53">
        <v>0.5</v>
      </c>
      <c r="G70" s="53" t="s">
        <v>161</v>
      </c>
      <c r="H70" s="122">
        <f t="shared" si="13"/>
        <v>0.5</v>
      </c>
      <c r="K70" s="18">
        <v>0</v>
      </c>
      <c r="L70" s="30">
        <f t="shared" si="14"/>
        <v>0</v>
      </c>
      <c r="M70" s="30">
        <f t="shared" si="10"/>
        <v>0</v>
      </c>
    </row>
    <row r="71" spans="1:18">
      <c r="E71" s="63" t="s">
        <v>1133</v>
      </c>
      <c r="F71" s="53">
        <v>0.3</v>
      </c>
      <c r="G71" s="53" t="s">
        <v>161</v>
      </c>
      <c r="H71" s="122">
        <f t="shared" si="13"/>
        <v>0.3</v>
      </c>
      <c r="K71" s="18">
        <v>0</v>
      </c>
      <c r="L71" s="30">
        <f t="shared" si="14"/>
        <v>0</v>
      </c>
      <c r="M71" s="30">
        <f t="shared" si="10"/>
        <v>0</v>
      </c>
      <c r="Q71" s="121">
        <v>1</v>
      </c>
    </row>
    <row r="72" spans="1:18" ht="17.25" thickBot="1">
      <c r="A72" s="123"/>
      <c r="B72" s="123"/>
      <c r="C72" s="123"/>
      <c r="D72" s="123"/>
      <c r="E72" s="40"/>
      <c r="F72" s="40"/>
      <c r="G72" s="40"/>
      <c r="H72" s="124"/>
      <c r="I72" s="123"/>
      <c r="J72" s="123"/>
      <c r="K72" s="26">
        <f>SUM(K64:K71)</f>
        <v>4.0714285714285712</v>
      </c>
      <c r="L72" s="125">
        <f>SUM(L64:L71)</f>
        <v>100.03510003510003</v>
      </c>
      <c r="M72" s="123"/>
      <c r="N72" s="125">
        <f>SUM(M64:M71)</f>
        <v>338.7153387153387</v>
      </c>
      <c r="O72" s="123" t="s">
        <v>142</v>
      </c>
      <c r="P72" s="40" t="s">
        <v>13</v>
      </c>
      <c r="Q72" s="126">
        <v>1</v>
      </c>
      <c r="R72" s="127">
        <v>30</v>
      </c>
    </row>
    <row r="73" spans="1:18">
      <c r="A73">
        <v>7</v>
      </c>
      <c r="B73" s="7" t="s">
        <v>711</v>
      </c>
      <c r="C73" t="s">
        <v>1301</v>
      </c>
      <c r="D73" s="135" t="s">
        <v>1305</v>
      </c>
      <c r="E73" s="170" t="s">
        <v>1285</v>
      </c>
      <c r="F73" s="53">
        <v>600</v>
      </c>
      <c r="G73" s="29" t="s">
        <v>581</v>
      </c>
      <c r="H73" s="85">
        <f>F73/4</f>
        <v>150</v>
      </c>
      <c r="I73" s="10" t="s">
        <v>17</v>
      </c>
      <c r="J73" s="9">
        <v>1</v>
      </c>
      <c r="K73" s="18">
        <f>H73/40</f>
        <v>3.75</v>
      </c>
      <c r="L73" s="30">
        <f>K73/5.14*100</f>
        <v>72.95719844357977</v>
      </c>
      <c r="M73" s="30">
        <f t="shared" si="10"/>
        <v>72.95719844357977</v>
      </c>
    </row>
    <row r="74" spans="1:18">
      <c r="E74" s="170" t="s">
        <v>1260</v>
      </c>
      <c r="F74" s="53">
        <v>2</v>
      </c>
      <c r="G74" s="53" t="s">
        <v>160</v>
      </c>
      <c r="H74" s="85">
        <f t="shared" ref="H74:H80" si="15">F74/4</f>
        <v>0.5</v>
      </c>
      <c r="K74" s="18">
        <v>0</v>
      </c>
      <c r="L74" s="30">
        <f t="shared" ref="L74:L80" si="16">K74/5.14*100</f>
        <v>0</v>
      </c>
      <c r="M74" s="30">
        <f t="shared" si="10"/>
        <v>0</v>
      </c>
    </row>
    <row r="75" spans="1:18">
      <c r="E75" s="170" t="s">
        <v>1057</v>
      </c>
      <c r="F75" s="53">
        <v>3</v>
      </c>
      <c r="G75" s="53" t="s">
        <v>163</v>
      </c>
      <c r="H75" s="85">
        <f t="shared" si="15"/>
        <v>0.75</v>
      </c>
      <c r="I75" s="10" t="s">
        <v>16</v>
      </c>
      <c r="J75" s="9">
        <v>5</v>
      </c>
      <c r="K75" s="18">
        <v>0.75</v>
      </c>
      <c r="L75" s="30">
        <f t="shared" si="16"/>
        <v>14.591439688715955</v>
      </c>
      <c r="M75" s="30">
        <f t="shared" si="10"/>
        <v>72.95719844357977</v>
      </c>
    </row>
    <row r="76" spans="1:18">
      <c r="E76" s="170" t="s">
        <v>1261</v>
      </c>
      <c r="F76" s="53">
        <v>63</v>
      </c>
      <c r="G76" s="29" t="s">
        <v>581</v>
      </c>
      <c r="H76" s="85">
        <f t="shared" si="15"/>
        <v>15.75</v>
      </c>
      <c r="I76" s="10" t="s">
        <v>704</v>
      </c>
      <c r="J76" s="9">
        <v>5</v>
      </c>
      <c r="K76" s="18">
        <f>H76/34</f>
        <v>0.46323529411764708</v>
      </c>
      <c r="L76" s="30">
        <f t="shared" si="16"/>
        <v>9.0123598077363258</v>
      </c>
      <c r="M76" s="30">
        <f t="shared" si="10"/>
        <v>45.061799038681627</v>
      </c>
    </row>
    <row r="77" spans="1:18">
      <c r="E77" s="170" t="s">
        <v>1286</v>
      </c>
      <c r="F77" s="53">
        <v>50</v>
      </c>
      <c r="G77" s="29" t="s">
        <v>581</v>
      </c>
      <c r="H77" s="85">
        <f t="shared" si="15"/>
        <v>12.5</v>
      </c>
      <c r="I77" s="10" t="s">
        <v>704</v>
      </c>
      <c r="J77" s="9">
        <v>5</v>
      </c>
      <c r="K77" s="18">
        <f>H77/70</f>
        <v>0.17857142857142858</v>
      </c>
      <c r="L77" s="30">
        <f t="shared" si="16"/>
        <v>3.4741523068371318</v>
      </c>
      <c r="M77" s="30">
        <f t="shared" si="10"/>
        <v>17.370761534185661</v>
      </c>
    </row>
    <row r="78" spans="1:18">
      <c r="E78" s="170" t="s">
        <v>1287</v>
      </c>
      <c r="F78" s="53">
        <v>3</v>
      </c>
      <c r="G78" s="53" t="s">
        <v>163</v>
      </c>
      <c r="H78" s="85">
        <f t="shared" si="15"/>
        <v>0.75</v>
      </c>
      <c r="K78" s="18">
        <v>0</v>
      </c>
      <c r="L78" s="30">
        <f t="shared" si="16"/>
        <v>0</v>
      </c>
      <c r="M78" s="30">
        <f t="shared" si="10"/>
        <v>0</v>
      </c>
    </row>
    <row r="79" spans="1:18">
      <c r="E79" s="170" t="s">
        <v>1151</v>
      </c>
      <c r="F79" s="53">
        <v>5</v>
      </c>
      <c r="G79" s="53" t="s">
        <v>160</v>
      </c>
      <c r="H79" s="85">
        <f t="shared" si="15"/>
        <v>1.25</v>
      </c>
      <c r="K79" s="18">
        <v>0</v>
      </c>
      <c r="L79" s="30">
        <f t="shared" si="16"/>
        <v>0</v>
      </c>
      <c r="M79" s="30">
        <f t="shared" si="10"/>
        <v>0</v>
      </c>
      <c r="Q79" s="121">
        <v>2.58</v>
      </c>
    </row>
    <row r="80" spans="1:18">
      <c r="E80" s="170" t="s">
        <v>1275</v>
      </c>
      <c r="F80" s="53">
        <v>1</v>
      </c>
      <c r="G80" s="53" t="s">
        <v>161</v>
      </c>
      <c r="H80" s="85">
        <f t="shared" si="15"/>
        <v>0.25</v>
      </c>
      <c r="K80" s="18">
        <v>0</v>
      </c>
      <c r="L80" s="30">
        <f t="shared" si="16"/>
        <v>0</v>
      </c>
      <c r="M80" s="30">
        <f t="shared" si="10"/>
        <v>0</v>
      </c>
    </row>
    <row r="81" spans="1:18" ht="17.25" thickBot="1">
      <c r="A81" s="123"/>
      <c r="B81" s="123"/>
      <c r="C81" s="123"/>
      <c r="D81" s="123"/>
      <c r="E81" s="40"/>
      <c r="F81" s="40"/>
      <c r="G81" s="40"/>
      <c r="H81" s="124"/>
      <c r="I81" s="123"/>
      <c r="J81" s="123"/>
      <c r="K81" s="26">
        <f>SUM(K73:K80)</f>
        <v>5.1418067226890756</v>
      </c>
      <c r="L81" s="125">
        <f>SUM(L73:L80)</f>
        <v>100.03515024686918</v>
      </c>
      <c r="M81" s="123"/>
      <c r="N81" s="125">
        <f>SUM(M73:M80)</f>
        <v>208.34695746002683</v>
      </c>
      <c r="O81" s="123" t="s">
        <v>36</v>
      </c>
      <c r="P81" s="40" t="s">
        <v>77</v>
      </c>
      <c r="Q81" s="126">
        <v>2.58</v>
      </c>
      <c r="R81" s="127"/>
    </row>
    <row r="82" spans="1:18">
      <c r="A82">
        <v>8</v>
      </c>
      <c r="B82" s="7" t="s">
        <v>713</v>
      </c>
      <c r="C82" t="s">
        <v>1307</v>
      </c>
      <c r="D82" t="s">
        <v>1308</v>
      </c>
      <c r="E82" s="170" t="s">
        <v>1288</v>
      </c>
      <c r="F82" s="53">
        <v>280</v>
      </c>
      <c r="G82" s="53" t="s">
        <v>581</v>
      </c>
      <c r="H82" s="85">
        <f>F82/4</f>
        <v>70</v>
      </c>
      <c r="I82" s="10" t="s">
        <v>32</v>
      </c>
      <c r="J82" s="9">
        <v>2</v>
      </c>
      <c r="K82" s="18">
        <v>0.5</v>
      </c>
      <c r="L82" s="30">
        <f>K82/3.57*100</f>
        <v>14.005602240896359</v>
      </c>
      <c r="M82" s="30">
        <f t="shared" si="10"/>
        <v>28.011204481792717</v>
      </c>
    </row>
    <row r="83" spans="1:18">
      <c r="E83" s="170" t="s">
        <v>1154</v>
      </c>
      <c r="F83" s="53">
        <v>420</v>
      </c>
      <c r="G83" s="53" t="s">
        <v>581</v>
      </c>
      <c r="H83" s="85">
        <f t="shared" ref="H83:H91" si="17">F83/4</f>
        <v>105</v>
      </c>
      <c r="I83" s="10" t="s">
        <v>704</v>
      </c>
      <c r="J83" s="9">
        <v>5</v>
      </c>
      <c r="K83" s="18">
        <f>H83/70</f>
        <v>1.5</v>
      </c>
      <c r="L83" s="30">
        <f t="shared" ref="L83:L90" si="18">K83/3.57*100</f>
        <v>42.016806722689076</v>
      </c>
      <c r="M83" s="30">
        <f t="shared" si="10"/>
        <v>210.08403361344537</v>
      </c>
    </row>
    <row r="84" spans="1:18">
      <c r="E84" s="170" t="s">
        <v>1252</v>
      </c>
      <c r="F84" s="53">
        <v>280</v>
      </c>
      <c r="G84" s="53" t="s">
        <v>581</v>
      </c>
      <c r="H84" s="85">
        <f t="shared" si="17"/>
        <v>70</v>
      </c>
      <c r="I84" s="10" t="s">
        <v>704</v>
      </c>
      <c r="J84" s="9">
        <v>5</v>
      </c>
      <c r="K84" s="18">
        <v>1</v>
      </c>
      <c r="L84" s="30">
        <f t="shared" si="18"/>
        <v>28.011204481792717</v>
      </c>
      <c r="M84" s="30">
        <f t="shared" si="10"/>
        <v>140.0560224089636</v>
      </c>
    </row>
    <row r="85" spans="1:18">
      <c r="E85" s="170" t="s">
        <v>1118</v>
      </c>
      <c r="F85" s="53">
        <v>1</v>
      </c>
      <c r="G85" s="53" t="s">
        <v>160</v>
      </c>
      <c r="H85" s="85">
        <f t="shared" si="17"/>
        <v>0.25</v>
      </c>
      <c r="I85" s="10" t="s">
        <v>16</v>
      </c>
      <c r="J85" s="9">
        <v>5</v>
      </c>
      <c r="K85" s="18">
        <v>0.5</v>
      </c>
      <c r="L85" s="30">
        <f t="shared" si="18"/>
        <v>14.005602240896359</v>
      </c>
      <c r="M85" s="30">
        <f t="shared" si="10"/>
        <v>70.0280112044818</v>
      </c>
    </row>
    <row r="86" spans="1:18">
      <c r="E86" s="170" t="s">
        <v>1289</v>
      </c>
      <c r="F86" s="53">
        <v>5</v>
      </c>
      <c r="G86" s="53" t="s">
        <v>581</v>
      </c>
      <c r="H86" s="85">
        <f t="shared" si="17"/>
        <v>1.25</v>
      </c>
      <c r="I86" s="10" t="s">
        <v>704</v>
      </c>
      <c r="J86" s="9">
        <v>5</v>
      </c>
      <c r="K86" s="18">
        <f>J86/70</f>
        <v>7.1428571428571425E-2</v>
      </c>
      <c r="L86" s="30">
        <f t="shared" si="18"/>
        <v>2.0008003201280511</v>
      </c>
      <c r="M86" s="30">
        <f t="shared" si="10"/>
        <v>10.004001600640255</v>
      </c>
    </row>
    <row r="87" spans="1:18">
      <c r="E87" s="170" t="s">
        <v>1276</v>
      </c>
      <c r="F87" s="53">
        <v>3</v>
      </c>
      <c r="G87" s="53" t="s">
        <v>160</v>
      </c>
      <c r="H87" s="85">
        <f t="shared" si="17"/>
        <v>0.75</v>
      </c>
      <c r="J87" s="9">
        <v>0</v>
      </c>
      <c r="K87" s="18">
        <v>0</v>
      </c>
      <c r="L87" s="30">
        <f t="shared" si="18"/>
        <v>0</v>
      </c>
      <c r="M87" s="30">
        <f t="shared" si="10"/>
        <v>0</v>
      </c>
      <c r="Q87" s="121">
        <v>1.6</v>
      </c>
    </row>
    <row r="88" spans="1:18">
      <c r="E88" s="170" t="s">
        <v>1272</v>
      </c>
      <c r="F88" s="53">
        <v>1</v>
      </c>
      <c r="G88" s="53" t="s">
        <v>160</v>
      </c>
      <c r="H88" s="85">
        <f t="shared" si="17"/>
        <v>0.25</v>
      </c>
      <c r="J88" s="9">
        <v>0</v>
      </c>
      <c r="K88" s="18">
        <v>0</v>
      </c>
      <c r="L88" s="30">
        <f t="shared" si="18"/>
        <v>0</v>
      </c>
      <c r="M88" s="30">
        <f t="shared" si="10"/>
        <v>0</v>
      </c>
      <c r="Q88" s="121">
        <v>0.42</v>
      </c>
    </row>
    <row r="89" spans="1:18">
      <c r="E89" s="170" t="s">
        <v>1260</v>
      </c>
      <c r="F89" s="53">
        <v>1</v>
      </c>
      <c r="G89" s="53" t="s">
        <v>160</v>
      </c>
      <c r="H89" s="85">
        <f t="shared" si="17"/>
        <v>0.25</v>
      </c>
      <c r="J89" s="9">
        <v>0</v>
      </c>
      <c r="K89" s="18">
        <v>0</v>
      </c>
      <c r="L89" s="30">
        <f t="shared" si="18"/>
        <v>0</v>
      </c>
      <c r="M89" s="30">
        <f t="shared" si="10"/>
        <v>0</v>
      </c>
      <c r="Q89" s="121">
        <v>0.5</v>
      </c>
    </row>
    <row r="90" spans="1:18">
      <c r="E90" s="170" t="s">
        <v>1133</v>
      </c>
      <c r="F90" s="53">
        <v>2</v>
      </c>
      <c r="G90" s="53" t="s">
        <v>581</v>
      </c>
      <c r="H90" s="85">
        <f t="shared" si="17"/>
        <v>0.5</v>
      </c>
      <c r="J90" s="9">
        <v>0</v>
      </c>
      <c r="K90" s="18">
        <v>0</v>
      </c>
      <c r="L90" s="30">
        <f t="shared" si="18"/>
        <v>0</v>
      </c>
      <c r="M90" s="30">
        <f t="shared" si="10"/>
        <v>0</v>
      </c>
      <c r="Q90" s="121">
        <v>0.5</v>
      </c>
    </row>
    <row r="91" spans="1:18">
      <c r="E91" s="170" t="s">
        <v>1129</v>
      </c>
      <c r="F91" s="53">
        <v>98</v>
      </c>
      <c r="G91" s="53" t="s">
        <v>581</v>
      </c>
      <c r="H91" s="85">
        <f t="shared" si="17"/>
        <v>24.5</v>
      </c>
      <c r="J91" s="9"/>
      <c r="L91" s="30"/>
      <c r="M91" s="30"/>
      <c r="R91" s="116">
        <v>24.5</v>
      </c>
    </row>
    <row r="92" spans="1:18" ht="17.25" thickBot="1">
      <c r="A92" s="123"/>
      <c r="B92" s="123"/>
      <c r="C92" s="123"/>
      <c r="D92" s="123"/>
      <c r="E92" s="40"/>
      <c r="F92" s="40"/>
      <c r="G92" s="40"/>
      <c r="H92" s="124"/>
      <c r="I92" s="123"/>
      <c r="J92" s="123"/>
      <c r="K92" s="26">
        <f>SUM(K82:K90)</f>
        <v>3.5714285714285716</v>
      </c>
      <c r="L92" s="125">
        <f>SUM(L82:L90)</f>
        <v>100.04001600640255</v>
      </c>
      <c r="M92" s="123"/>
      <c r="N92" s="125">
        <f>SUM(M82:M90)</f>
        <v>458.18327330932374</v>
      </c>
      <c r="O92" s="123" t="s">
        <v>64</v>
      </c>
      <c r="P92" s="40" t="s">
        <v>13</v>
      </c>
      <c r="Q92" s="126">
        <f>SUM(Q82:Q90)</f>
        <v>3.02</v>
      </c>
      <c r="R92" s="127">
        <v>24.5</v>
      </c>
    </row>
    <row r="93" spans="1:18">
      <c r="A93">
        <v>9</v>
      </c>
      <c r="B93" s="7" t="s">
        <v>714</v>
      </c>
      <c r="C93" t="s">
        <v>1303</v>
      </c>
      <c r="D93" t="s">
        <v>1308</v>
      </c>
      <c r="E93" s="170" t="s">
        <v>1290</v>
      </c>
      <c r="F93" s="53">
        <v>140</v>
      </c>
      <c r="G93" s="53" t="s">
        <v>581</v>
      </c>
      <c r="H93" s="122">
        <f>F93/1</f>
        <v>140</v>
      </c>
      <c r="I93" s="10" t="s">
        <v>14</v>
      </c>
      <c r="J93" s="9">
        <v>5</v>
      </c>
      <c r="K93" s="18">
        <v>2</v>
      </c>
      <c r="L93" s="30">
        <f>K93/3*100</f>
        <v>66.666666666666657</v>
      </c>
      <c r="M93" s="30">
        <f t="shared" ref="M93:M113" si="19">L93*J93</f>
        <v>333.33333333333326</v>
      </c>
    </row>
    <row r="94" spans="1:18">
      <c r="E94" s="170" t="s">
        <v>418</v>
      </c>
      <c r="F94" s="53">
        <v>1</v>
      </c>
      <c r="G94" s="53" t="s">
        <v>163</v>
      </c>
      <c r="H94" s="122">
        <v>55</v>
      </c>
      <c r="I94" s="10" t="s">
        <v>715</v>
      </c>
      <c r="J94" s="9">
        <v>2</v>
      </c>
      <c r="K94" s="18">
        <v>1</v>
      </c>
      <c r="L94" s="30">
        <f t="shared" ref="L94:L97" si="20">K94/3*100</f>
        <v>33.333333333333329</v>
      </c>
      <c r="M94" s="30">
        <f t="shared" si="19"/>
        <v>66.666666666666657</v>
      </c>
    </row>
    <row r="95" spans="1:18">
      <c r="E95" s="170" t="s">
        <v>1272</v>
      </c>
      <c r="F95" s="53">
        <v>1</v>
      </c>
      <c r="G95" s="53" t="s">
        <v>161</v>
      </c>
      <c r="H95" s="122">
        <v>1</v>
      </c>
      <c r="J95" s="9">
        <v>0</v>
      </c>
      <c r="K95" s="18">
        <v>0</v>
      </c>
      <c r="L95" s="30">
        <f t="shared" si="20"/>
        <v>0</v>
      </c>
      <c r="M95" s="30">
        <f t="shared" si="19"/>
        <v>0</v>
      </c>
      <c r="Q95" s="121">
        <v>0.56000000000000005</v>
      </c>
    </row>
    <row r="96" spans="1:18">
      <c r="E96" s="170" t="s">
        <v>1132</v>
      </c>
      <c r="F96" s="53">
        <v>1</v>
      </c>
      <c r="G96" s="53" t="s">
        <v>161</v>
      </c>
      <c r="H96" s="122">
        <v>1</v>
      </c>
      <c r="J96" s="9">
        <v>0</v>
      </c>
      <c r="K96" s="18">
        <v>0</v>
      </c>
      <c r="L96" s="30">
        <f t="shared" si="20"/>
        <v>0</v>
      </c>
      <c r="M96" s="30">
        <f t="shared" si="19"/>
        <v>0</v>
      </c>
      <c r="R96" s="116">
        <v>5</v>
      </c>
    </row>
    <row r="97" spans="1:18">
      <c r="E97" s="170" t="s">
        <v>1129</v>
      </c>
      <c r="F97" s="53">
        <v>1</v>
      </c>
      <c r="G97" s="53" t="s">
        <v>160</v>
      </c>
      <c r="H97" s="122">
        <v>1</v>
      </c>
      <c r="J97" s="9">
        <v>0</v>
      </c>
      <c r="K97" s="18">
        <v>0</v>
      </c>
      <c r="L97" s="30">
        <f t="shared" si="20"/>
        <v>0</v>
      </c>
      <c r="M97" s="30">
        <f t="shared" si="19"/>
        <v>0</v>
      </c>
      <c r="R97" s="116">
        <v>15</v>
      </c>
    </row>
    <row r="98" spans="1:18" ht="17.25" thickBot="1">
      <c r="A98" s="123"/>
      <c r="B98" s="123"/>
      <c r="C98" s="123"/>
      <c r="D98" s="123"/>
      <c r="E98" s="40"/>
      <c r="F98" s="40"/>
      <c r="G98" s="40"/>
      <c r="H98" s="124"/>
      <c r="I98" s="123"/>
      <c r="J98" s="123"/>
      <c r="K98" s="26">
        <f>SUM(K93:K97)</f>
        <v>3</v>
      </c>
      <c r="L98" s="125">
        <f>SUM(L93:L97)</f>
        <v>99.999999999999986</v>
      </c>
      <c r="M98" s="123"/>
      <c r="N98" s="125">
        <f>SUM(M93:M97)</f>
        <v>399.99999999999989</v>
      </c>
      <c r="O98" s="123" t="s">
        <v>142</v>
      </c>
      <c r="P98" s="40" t="s">
        <v>13</v>
      </c>
      <c r="Q98" s="126"/>
      <c r="R98" s="127">
        <v>20</v>
      </c>
    </row>
    <row r="99" spans="1:18">
      <c r="A99">
        <v>10</v>
      </c>
      <c r="B99" s="7" t="s">
        <v>716</v>
      </c>
      <c r="C99" t="s">
        <v>1304</v>
      </c>
      <c r="D99" s="6" t="s">
        <v>701</v>
      </c>
      <c r="E99" s="170" t="s">
        <v>1291</v>
      </c>
      <c r="F99" s="53">
        <v>160</v>
      </c>
      <c r="G99" s="53" t="s">
        <v>581</v>
      </c>
      <c r="H99" s="122">
        <f>F99/2</f>
        <v>80</v>
      </c>
      <c r="I99" s="10" t="s">
        <v>21</v>
      </c>
      <c r="J99" s="9">
        <v>4</v>
      </c>
      <c r="K99" s="18">
        <f>H99/50</f>
        <v>1.6</v>
      </c>
      <c r="L99" s="30">
        <f>K99/4.77*100</f>
        <v>33.542976939203363</v>
      </c>
      <c r="M99" s="30">
        <f t="shared" si="19"/>
        <v>134.17190775681345</v>
      </c>
    </row>
    <row r="100" spans="1:18">
      <c r="E100" s="170" t="s">
        <v>1292</v>
      </c>
      <c r="F100" s="53">
        <v>70</v>
      </c>
      <c r="G100" s="53" t="s">
        <v>581</v>
      </c>
      <c r="H100" s="122">
        <f t="shared" ref="H100:H113" si="21">F100/2</f>
        <v>35</v>
      </c>
      <c r="I100" s="10" t="s">
        <v>14</v>
      </c>
      <c r="J100" s="9">
        <v>5</v>
      </c>
      <c r="K100" s="18">
        <f>H100/70</f>
        <v>0.5</v>
      </c>
      <c r="L100" s="30">
        <f t="shared" ref="L100:L113" si="22">K100/4.77*100</f>
        <v>10.482180293501049</v>
      </c>
      <c r="M100" s="30">
        <f t="shared" si="19"/>
        <v>52.410901467505241</v>
      </c>
    </row>
    <row r="101" spans="1:18">
      <c r="E101" s="170" t="s">
        <v>1057</v>
      </c>
      <c r="F101" s="53">
        <v>14</v>
      </c>
      <c r="G101" s="53" t="s">
        <v>581</v>
      </c>
      <c r="H101" s="122">
        <f t="shared" si="21"/>
        <v>7</v>
      </c>
      <c r="I101" s="10" t="s">
        <v>16</v>
      </c>
      <c r="J101" s="9">
        <v>5</v>
      </c>
      <c r="K101" s="18">
        <v>1</v>
      </c>
      <c r="L101" s="30">
        <f t="shared" si="22"/>
        <v>20.964360587002098</v>
      </c>
      <c r="M101" s="30">
        <f t="shared" si="19"/>
        <v>104.82180293501048</v>
      </c>
    </row>
    <row r="102" spans="1:18">
      <c r="E102" s="170" t="s">
        <v>1293</v>
      </c>
      <c r="F102" s="53">
        <v>70</v>
      </c>
      <c r="G102" s="53" t="s">
        <v>581</v>
      </c>
      <c r="H102" s="122">
        <f t="shared" si="21"/>
        <v>35</v>
      </c>
      <c r="I102" s="10" t="s">
        <v>704</v>
      </c>
      <c r="J102" s="9">
        <v>5</v>
      </c>
      <c r="K102" s="18">
        <v>0.5</v>
      </c>
      <c r="L102" s="30">
        <f t="shared" si="22"/>
        <v>10.482180293501049</v>
      </c>
      <c r="M102" s="30">
        <f t="shared" si="19"/>
        <v>52.410901467505241</v>
      </c>
    </row>
    <row r="103" spans="1:18">
      <c r="E103" s="170" t="s">
        <v>1294</v>
      </c>
      <c r="F103" s="53">
        <v>1</v>
      </c>
      <c r="G103" s="53" t="s">
        <v>160</v>
      </c>
      <c r="H103" s="122">
        <f t="shared" si="21"/>
        <v>0.5</v>
      </c>
      <c r="K103" s="18">
        <v>0</v>
      </c>
      <c r="L103" s="30">
        <f t="shared" si="22"/>
        <v>0</v>
      </c>
      <c r="M103" s="30">
        <f t="shared" si="19"/>
        <v>0</v>
      </c>
    </row>
    <row r="104" spans="1:18">
      <c r="E104" s="170" t="s">
        <v>1271</v>
      </c>
      <c r="F104" s="53">
        <v>1</v>
      </c>
      <c r="G104" s="53" t="s">
        <v>160</v>
      </c>
      <c r="H104" s="122">
        <f t="shared" si="21"/>
        <v>0.5</v>
      </c>
      <c r="K104" s="18">
        <v>0</v>
      </c>
      <c r="L104" s="30">
        <f t="shared" si="22"/>
        <v>0</v>
      </c>
      <c r="M104" s="30">
        <f t="shared" si="19"/>
        <v>0</v>
      </c>
      <c r="Q104" s="121">
        <v>0.84</v>
      </c>
    </row>
    <row r="105" spans="1:18">
      <c r="E105" s="170" t="s">
        <v>1275</v>
      </c>
      <c r="F105" s="53">
        <v>1</v>
      </c>
      <c r="G105" s="53" t="s">
        <v>160</v>
      </c>
      <c r="H105" s="122">
        <f t="shared" si="21"/>
        <v>0.5</v>
      </c>
      <c r="K105" s="18">
        <v>0</v>
      </c>
      <c r="L105" s="30">
        <f t="shared" si="22"/>
        <v>0</v>
      </c>
      <c r="M105" s="30">
        <f t="shared" si="19"/>
        <v>0</v>
      </c>
    </row>
    <row r="106" spans="1:18">
      <c r="E106" s="170" t="s">
        <v>1295</v>
      </c>
      <c r="F106" s="53">
        <v>0.5</v>
      </c>
      <c r="G106" s="53" t="s">
        <v>160</v>
      </c>
      <c r="H106" s="122">
        <f t="shared" si="21"/>
        <v>0.25</v>
      </c>
      <c r="I106" s="10" t="s">
        <v>717</v>
      </c>
      <c r="J106" s="9">
        <v>2</v>
      </c>
      <c r="K106" s="18">
        <f>3.5/8</f>
        <v>0.4375</v>
      </c>
      <c r="L106" s="30">
        <f t="shared" si="22"/>
        <v>9.1719077568134182</v>
      </c>
      <c r="M106" s="30">
        <f t="shared" si="19"/>
        <v>18.343815513626836</v>
      </c>
    </row>
    <row r="107" spans="1:18">
      <c r="E107" s="170" t="s">
        <v>1125</v>
      </c>
      <c r="F107" s="53">
        <v>60</v>
      </c>
      <c r="G107" s="53" t="s">
        <v>581</v>
      </c>
      <c r="H107" s="122">
        <f t="shared" si="21"/>
        <v>30</v>
      </c>
      <c r="I107" s="10" t="s">
        <v>14</v>
      </c>
      <c r="J107" s="9">
        <v>5</v>
      </c>
      <c r="K107" s="18">
        <f>H107/70</f>
        <v>0.42857142857142855</v>
      </c>
      <c r="L107" s="30">
        <f t="shared" si="22"/>
        <v>8.9847259658580416</v>
      </c>
      <c r="M107" s="30">
        <f t="shared" si="19"/>
        <v>44.923629829290206</v>
      </c>
    </row>
    <row r="108" spans="1:18">
      <c r="E108" s="170" t="s">
        <v>1274</v>
      </c>
      <c r="F108" s="53">
        <v>0.5</v>
      </c>
      <c r="G108" s="53" t="s">
        <v>49</v>
      </c>
      <c r="H108" s="122">
        <f t="shared" si="21"/>
        <v>0.25</v>
      </c>
      <c r="K108" s="18">
        <v>0</v>
      </c>
      <c r="L108" s="30">
        <f t="shared" si="22"/>
        <v>0</v>
      </c>
      <c r="M108" s="30">
        <f t="shared" si="19"/>
        <v>0</v>
      </c>
    </row>
    <row r="109" spans="1:18">
      <c r="E109" s="170" t="s">
        <v>1144</v>
      </c>
      <c r="F109" s="53">
        <v>21</v>
      </c>
      <c r="G109" s="53" t="s">
        <v>581</v>
      </c>
      <c r="H109" s="122">
        <f t="shared" si="21"/>
        <v>10.5</v>
      </c>
      <c r="I109" s="10" t="s">
        <v>704</v>
      </c>
      <c r="J109" s="9">
        <v>5</v>
      </c>
      <c r="K109" s="18">
        <f>H109/34</f>
        <v>0.30882352941176472</v>
      </c>
      <c r="L109" s="30">
        <f t="shared" si="22"/>
        <v>6.4742878283388832</v>
      </c>
      <c r="M109" s="30">
        <f>L109*J109</f>
        <v>32.371439141694417</v>
      </c>
    </row>
    <row r="110" spans="1:18">
      <c r="E110" s="170" t="s">
        <v>1282</v>
      </c>
      <c r="F110" s="53">
        <v>2</v>
      </c>
      <c r="G110" s="53" t="s">
        <v>160</v>
      </c>
      <c r="H110" s="122">
        <f t="shared" si="21"/>
        <v>1</v>
      </c>
      <c r="K110" s="18">
        <v>0</v>
      </c>
      <c r="L110" s="30">
        <f t="shared" si="22"/>
        <v>0</v>
      </c>
      <c r="M110" s="30">
        <f t="shared" si="19"/>
        <v>0</v>
      </c>
      <c r="R110" s="116">
        <v>15</v>
      </c>
    </row>
    <row r="111" spans="1:18">
      <c r="E111" s="170" t="s">
        <v>1296</v>
      </c>
      <c r="F111" s="53">
        <v>1</v>
      </c>
      <c r="G111" s="53" t="s">
        <v>160</v>
      </c>
      <c r="H111" s="122">
        <f t="shared" si="21"/>
        <v>0.5</v>
      </c>
      <c r="K111" s="18">
        <v>0</v>
      </c>
      <c r="L111" s="30">
        <f t="shared" si="22"/>
        <v>0</v>
      </c>
      <c r="M111" s="30">
        <f t="shared" si="19"/>
        <v>0</v>
      </c>
      <c r="Q111" s="121">
        <v>1.0900000000000001</v>
      </c>
    </row>
    <row r="112" spans="1:18">
      <c r="E112" s="170" t="s">
        <v>1260</v>
      </c>
      <c r="F112" s="53">
        <v>1</v>
      </c>
      <c r="G112" s="53" t="s">
        <v>160</v>
      </c>
      <c r="H112" s="122">
        <f t="shared" si="21"/>
        <v>0.5</v>
      </c>
      <c r="K112" s="18">
        <v>0</v>
      </c>
      <c r="L112" s="30">
        <f t="shared" si="22"/>
        <v>0</v>
      </c>
      <c r="M112" s="30">
        <f t="shared" si="19"/>
        <v>0</v>
      </c>
    </row>
    <row r="113" spans="1:18">
      <c r="E113" s="170" t="s">
        <v>1132</v>
      </c>
      <c r="F113" s="53">
        <v>1</v>
      </c>
      <c r="G113" s="53" t="s">
        <v>160</v>
      </c>
      <c r="H113" s="122">
        <f t="shared" si="21"/>
        <v>0.5</v>
      </c>
      <c r="K113" s="18">
        <v>0</v>
      </c>
      <c r="L113" s="30">
        <f t="shared" si="22"/>
        <v>0</v>
      </c>
      <c r="M113" s="30">
        <f t="shared" si="19"/>
        <v>0</v>
      </c>
      <c r="R113" s="116">
        <v>7.5</v>
      </c>
    </row>
    <row r="114" spans="1:18" ht="17.25" thickBot="1">
      <c r="A114" s="123"/>
      <c r="B114" s="123"/>
      <c r="C114" s="123"/>
      <c r="D114" s="123"/>
      <c r="E114" s="40"/>
      <c r="F114" s="40"/>
      <c r="G114" s="40"/>
      <c r="H114" s="124"/>
      <c r="I114" s="123"/>
      <c r="J114" s="123"/>
      <c r="K114" s="26">
        <f>SUM(K99:K113)</f>
        <v>4.774894957983193</v>
      </c>
      <c r="L114" s="125">
        <f>SUM(L99:L113)</f>
        <v>100.10261966421793</v>
      </c>
      <c r="M114" s="123"/>
      <c r="N114" s="125">
        <f>SUM(M99:M113)</f>
        <v>439.45439811144593</v>
      </c>
      <c r="O114" s="123" t="s">
        <v>142</v>
      </c>
      <c r="P114" s="40" t="s">
        <v>59</v>
      </c>
      <c r="Q114" s="126">
        <f>SUM(Q99:Q113)</f>
        <v>1.9300000000000002</v>
      </c>
      <c r="R114" s="127">
        <f>SUM(R99:R113)</f>
        <v>22.5</v>
      </c>
    </row>
  </sheetData>
  <phoneticPr fontId="2" type="noConversion"/>
  <hyperlinks>
    <hyperlink ref="D28" r:id="rId1"/>
  </hyperlinks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zoomScale="85" zoomScaleNormal="85" workbookViewId="0">
      <pane xSplit="2" ySplit="1" topLeftCell="C173" activePane="bottomRight" state="frozen"/>
      <selection pane="topRight" activeCell="C1" sqref="C1"/>
      <selection pane="bottomLeft" activeCell="A2" sqref="A2"/>
      <selection pane="bottomRight" activeCell="O190" sqref="O190"/>
    </sheetView>
  </sheetViews>
  <sheetFormatPr defaultRowHeight="16.5"/>
  <cols>
    <col min="1" max="1" width="4.875" style="6" bestFit="1" customWidth="1"/>
    <col min="2" max="2" width="15.5" style="6" bestFit="1" customWidth="1"/>
    <col min="3" max="3" width="34" style="71" customWidth="1"/>
    <col min="4" max="4" width="10.75" style="6" bestFit="1" customWidth="1"/>
    <col min="5" max="5" width="64.25" style="71" customWidth="1"/>
    <col min="6" max="6" width="13.625" style="83" bestFit="1" customWidth="1"/>
    <col min="7" max="7" width="5.25" style="29" bestFit="1" customWidth="1"/>
    <col min="8" max="8" width="17" style="85" bestFit="1" customWidth="1"/>
    <col min="9" max="9" width="7.125" style="6" customWidth="1"/>
    <col min="10" max="10" width="8.125" style="6" customWidth="1"/>
    <col min="11" max="11" width="6.5" style="2" customWidth="1"/>
    <col min="12" max="12" width="8.125" style="6" customWidth="1"/>
    <col min="13" max="13" width="16.125" style="6" customWidth="1"/>
    <col min="14" max="14" width="10.125" style="6" customWidth="1"/>
    <col min="15" max="15" width="11.875" style="6" customWidth="1"/>
    <col min="16" max="16" width="12.125" style="6" bestFit="1" customWidth="1"/>
    <col min="17" max="17" width="10.125" style="90" bestFit="1" customWidth="1"/>
    <col min="18" max="18" width="6.5" style="91" bestFit="1" customWidth="1"/>
    <col min="19" max="16384" width="9" style="6"/>
  </cols>
  <sheetData>
    <row r="1" spans="1:20" s="2" customFormat="1" ht="49.5">
      <c r="A1" s="62" t="s">
        <v>0</v>
      </c>
      <c r="B1" s="62" t="s">
        <v>2</v>
      </c>
      <c r="C1" s="76" t="s">
        <v>3</v>
      </c>
      <c r="D1" s="2" t="s">
        <v>37</v>
      </c>
      <c r="E1" s="75" t="s">
        <v>4</v>
      </c>
      <c r="F1" s="13" t="s">
        <v>173</v>
      </c>
      <c r="G1" s="4" t="s">
        <v>158</v>
      </c>
      <c r="H1" s="84" t="s">
        <v>174</v>
      </c>
      <c r="I1" s="2" t="s">
        <v>1</v>
      </c>
      <c r="J1" s="11" t="s">
        <v>7</v>
      </c>
      <c r="K1" s="12" t="s">
        <v>220</v>
      </c>
      <c r="L1" s="15" t="s">
        <v>8</v>
      </c>
      <c r="M1" s="16" t="s">
        <v>9</v>
      </c>
      <c r="N1" s="8" t="s">
        <v>10</v>
      </c>
      <c r="O1" s="8" t="s">
        <v>11</v>
      </c>
      <c r="P1" s="2" t="s">
        <v>12</v>
      </c>
      <c r="Q1" s="19" t="s">
        <v>35</v>
      </c>
      <c r="R1" s="17" t="s">
        <v>34</v>
      </c>
      <c r="T1" s="2" t="s">
        <v>718</v>
      </c>
    </row>
    <row r="2" spans="1:20" s="29" customFormat="1">
      <c r="A2" s="7">
        <v>1</v>
      </c>
      <c r="B2" s="7" t="s">
        <v>292</v>
      </c>
      <c r="C2" s="71" t="s">
        <v>145</v>
      </c>
      <c r="E2" s="77" t="s">
        <v>1319</v>
      </c>
      <c r="F2" s="83">
        <v>907</v>
      </c>
      <c r="H2" s="85">
        <f>F2/6</f>
        <v>151.16666666666666</v>
      </c>
      <c r="I2" s="10" t="s">
        <v>28</v>
      </c>
      <c r="J2" s="9">
        <v>3</v>
      </c>
      <c r="K2" s="13">
        <v>1.4750000000000001</v>
      </c>
      <c r="L2" s="30">
        <f>K2/4.48*100</f>
        <v>32.924107142857139</v>
      </c>
      <c r="M2" s="30">
        <f t="shared" ref="M2:M65" si="0">L2*J2</f>
        <v>98.772321428571416</v>
      </c>
      <c r="Q2" s="23">
        <v>0.26500000000000001</v>
      </c>
      <c r="R2" s="24"/>
    </row>
    <row r="3" spans="1:20" s="29" customFormat="1">
      <c r="A3" s="7"/>
      <c r="B3" s="7"/>
      <c r="C3" s="71" t="s">
        <v>146</v>
      </c>
      <c r="E3" s="156" t="s">
        <v>146</v>
      </c>
      <c r="F3" s="83"/>
      <c r="H3" s="85">
        <v>150</v>
      </c>
      <c r="I3" s="10" t="s">
        <v>18</v>
      </c>
      <c r="J3" s="9">
        <v>5</v>
      </c>
      <c r="K3" s="13">
        <v>1</v>
      </c>
      <c r="L3" s="30">
        <f>K3/4.48*100</f>
        <v>22.321428571428569</v>
      </c>
      <c r="M3" s="30">
        <f t="shared" si="0"/>
        <v>111.60714285714285</v>
      </c>
      <c r="Q3" s="23"/>
      <c r="R3" s="24"/>
    </row>
    <row r="4" spans="1:20" s="29" customFormat="1">
      <c r="A4" s="7"/>
      <c r="B4" s="7"/>
      <c r="C4" s="71" t="s">
        <v>144</v>
      </c>
      <c r="E4" s="156" t="s">
        <v>144</v>
      </c>
      <c r="F4" s="83"/>
      <c r="G4" s="79"/>
      <c r="H4" s="85">
        <v>60</v>
      </c>
      <c r="I4" s="10" t="s">
        <v>25</v>
      </c>
      <c r="J4" s="9">
        <v>4</v>
      </c>
      <c r="K4" s="13">
        <v>2</v>
      </c>
      <c r="L4" s="30">
        <f>K4/4.48*100</f>
        <v>44.642857142857139</v>
      </c>
      <c r="M4" s="30">
        <f t="shared" si="0"/>
        <v>178.57142857142856</v>
      </c>
      <c r="Q4" s="23"/>
      <c r="R4" s="24"/>
      <c r="S4" s="62"/>
      <c r="T4" s="62"/>
    </row>
    <row r="5" spans="1:20" s="29" customFormat="1" ht="17.25" thickBot="1">
      <c r="A5" s="47"/>
      <c r="B5" s="47"/>
      <c r="C5" s="72"/>
      <c r="D5" s="37"/>
      <c r="E5" s="72"/>
      <c r="F5" s="87"/>
      <c r="G5" s="81"/>
      <c r="H5" s="86"/>
      <c r="I5" s="44"/>
      <c r="J5" s="44"/>
      <c r="K5" s="45">
        <f>SUM(K2:K4)</f>
        <v>4.4749999999999996</v>
      </c>
      <c r="L5" s="38">
        <f>SUM(L2:L4)</f>
        <v>99.888392857142847</v>
      </c>
      <c r="M5" s="38"/>
      <c r="N5" s="38">
        <f>SUM(M2:M4)</f>
        <v>388.95089285714283</v>
      </c>
      <c r="O5" s="37"/>
      <c r="P5" s="37" t="s">
        <v>59</v>
      </c>
      <c r="Q5" s="48"/>
      <c r="R5" s="49"/>
      <c r="S5" s="7"/>
      <c r="T5" s="7"/>
    </row>
    <row r="6" spans="1:20" s="29" customFormat="1">
      <c r="A6" s="7">
        <v>2</v>
      </c>
      <c r="B6" s="7" t="s">
        <v>293</v>
      </c>
      <c r="C6" s="6" t="s">
        <v>1317</v>
      </c>
      <c r="D6" s="6" t="s">
        <v>150</v>
      </c>
      <c r="E6" s="78" t="s">
        <v>147</v>
      </c>
      <c r="F6" s="83">
        <v>2</v>
      </c>
      <c r="G6" s="79" t="s">
        <v>159</v>
      </c>
      <c r="H6" s="85">
        <f>F6/8</f>
        <v>0.25</v>
      </c>
      <c r="I6" s="10" t="s">
        <v>204</v>
      </c>
      <c r="J6" s="9">
        <v>4</v>
      </c>
      <c r="K6" s="13">
        <v>1</v>
      </c>
      <c r="L6" s="30">
        <f>K6/7.62*100</f>
        <v>13.123359580052494</v>
      </c>
      <c r="M6" s="30">
        <f t="shared" si="0"/>
        <v>52.493438320209975</v>
      </c>
      <c r="Q6" s="23"/>
      <c r="R6" s="24"/>
      <c r="S6" s="7"/>
      <c r="T6" s="7"/>
    </row>
    <row r="7" spans="1:20" s="29" customFormat="1">
      <c r="A7" s="7"/>
      <c r="B7" s="7"/>
      <c r="E7" s="78" t="s">
        <v>148</v>
      </c>
      <c r="F7" s="83">
        <v>2</v>
      </c>
      <c r="G7" s="79" t="s">
        <v>160</v>
      </c>
      <c r="H7" s="85">
        <f t="shared" ref="H7:H28" si="1">F7/8</f>
        <v>0.25</v>
      </c>
      <c r="I7" s="10"/>
      <c r="J7" s="10"/>
      <c r="K7" s="13">
        <v>0</v>
      </c>
      <c r="L7" s="30">
        <f t="shared" ref="L7:L39" si="2">K7/7.62*100</f>
        <v>0</v>
      </c>
      <c r="M7" s="30">
        <f t="shared" si="0"/>
        <v>0</v>
      </c>
      <c r="Q7" s="23"/>
      <c r="R7" s="24">
        <v>3.75</v>
      </c>
      <c r="S7" s="7"/>
      <c r="T7" s="7"/>
    </row>
    <row r="8" spans="1:20" s="29" customFormat="1">
      <c r="E8" s="78" t="s">
        <v>149</v>
      </c>
      <c r="F8" s="83">
        <v>0.5</v>
      </c>
      <c r="G8" s="79" t="s">
        <v>161</v>
      </c>
      <c r="H8" s="85">
        <f>F8/8</f>
        <v>6.25E-2</v>
      </c>
      <c r="I8" s="10"/>
      <c r="J8" s="10"/>
      <c r="K8" s="13">
        <v>0</v>
      </c>
      <c r="L8" s="30">
        <f t="shared" si="2"/>
        <v>0</v>
      </c>
      <c r="M8" s="30">
        <f t="shared" si="0"/>
        <v>0</v>
      </c>
      <c r="Q8" s="23">
        <v>0.18</v>
      </c>
      <c r="R8" s="24"/>
      <c r="S8" s="7"/>
      <c r="T8" s="7"/>
    </row>
    <row r="9" spans="1:20" s="29" customFormat="1">
      <c r="C9" s="71"/>
      <c r="E9" s="78" t="s">
        <v>157</v>
      </c>
      <c r="F9" s="88">
        <v>4</v>
      </c>
      <c r="G9" s="82" t="s">
        <v>162</v>
      </c>
      <c r="H9" s="85">
        <f t="shared" si="1"/>
        <v>0.5</v>
      </c>
      <c r="I9" s="10" t="s">
        <v>23</v>
      </c>
      <c r="J9" s="9">
        <v>5</v>
      </c>
      <c r="K9" s="13">
        <v>1</v>
      </c>
      <c r="L9" s="30">
        <f t="shared" si="2"/>
        <v>13.123359580052494</v>
      </c>
      <c r="M9" s="30">
        <f t="shared" si="0"/>
        <v>65.616797900262469</v>
      </c>
      <c r="Q9" s="23"/>
      <c r="R9" s="24"/>
    </row>
    <row r="10" spans="1:20" s="29" customFormat="1">
      <c r="C10" s="71"/>
      <c r="E10" s="71" t="s">
        <v>156</v>
      </c>
      <c r="F10" s="88">
        <v>2</v>
      </c>
      <c r="G10" s="82" t="s">
        <v>163</v>
      </c>
      <c r="H10" s="85">
        <f t="shared" si="1"/>
        <v>0.25</v>
      </c>
      <c r="I10" s="10" t="s">
        <v>14</v>
      </c>
      <c r="J10" s="9">
        <v>5</v>
      </c>
      <c r="K10" s="13">
        <v>0.5</v>
      </c>
      <c r="L10" s="30">
        <f t="shared" si="2"/>
        <v>6.5616797900262469</v>
      </c>
      <c r="M10" s="30">
        <f t="shared" si="0"/>
        <v>32.808398950131235</v>
      </c>
      <c r="Q10" s="23"/>
      <c r="R10" s="24"/>
    </row>
    <row r="11" spans="1:20" s="29" customFormat="1">
      <c r="C11" s="71"/>
      <c r="E11" s="71" t="s">
        <v>151</v>
      </c>
      <c r="F11" s="88">
        <v>0.25</v>
      </c>
      <c r="G11" s="82" t="s">
        <v>162</v>
      </c>
      <c r="H11" s="85">
        <f t="shared" si="1"/>
        <v>3.125E-2</v>
      </c>
      <c r="K11" s="13">
        <v>0</v>
      </c>
      <c r="L11" s="30">
        <f t="shared" si="2"/>
        <v>0</v>
      </c>
      <c r="M11" s="30">
        <f t="shared" si="0"/>
        <v>0</v>
      </c>
      <c r="Q11" s="23"/>
      <c r="R11" s="24"/>
    </row>
    <row r="12" spans="1:20" s="29" customFormat="1">
      <c r="C12" s="71"/>
      <c r="E12" s="108" t="s">
        <v>152</v>
      </c>
      <c r="F12" s="83">
        <v>2</v>
      </c>
      <c r="G12" s="82" t="s">
        <v>162</v>
      </c>
      <c r="H12" s="85">
        <f t="shared" si="1"/>
        <v>0.25</v>
      </c>
      <c r="I12" s="10" t="s">
        <v>25</v>
      </c>
      <c r="J12" s="9">
        <v>4</v>
      </c>
      <c r="K12" s="13">
        <v>1</v>
      </c>
      <c r="L12" s="30">
        <f t="shared" si="2"/>
        <v>13.123359580052494</v>
      </c>
      <c r="M12" s="30">
        <f t="shared" si="0"/>
        <v>52.493438320209975</v>
      </c>
      <c r="Q12" s="23"/>
      <c r="R12" s="24"/>
    </row>
    <row r="13" spans="1:20" s="29" customFormat="1">
      <c r="C13" s="71"/>
      <c r="E13" s="108" t="s">
        <v>153</v>
      </c>
      <c r="F13" s="89">
        <v>3</v>
      </c>
      <c r="G13" s="79" t="s">
        <v>160</v>
      </c>
      <c r="H13" s="85">
        <f t="shared" si="1"/>
        <v>0.375</v>
      </c>
      <c r="I13" s="10" t="s">
        <v>166</v>
      </c>
      <c r="J13" s="9">
        <v>5</v>
      </c>
      <c r="K13" s="18">
        <v>2.3E-2</v>
      </c>
      <c r="L13" s="30">
        <f t="shared" si="2"/>
        <v>0.30183727034120733</v>
      </c>
      <c r="M13" s="30">
        <f t="shared" si="0"/>
        <v>1.5091863517060367</v>
      </c>
      <c r="Q13" s="14"/>
      <c r="R13" s="24"/>
    </row>
    <row r="14" spans="1:20" s="29" customFormat="1">
      <c r="C14" s="71"/>
      <c r="E14" s="5" t="s">
        <v>154</v>
      </c>
      <c r="F14" s="88">
        <v>3</v>
      </c>
      <c r="G14" s="79" t="s">
        <v>160</v>
      </c>
      <c r="H14" s="85">
        <f t="shared" si="1"/>
        <v>0.375</v>
      </c>
      <c r="I14" s="10" t="s">
        <v>56</v>
      </c>
      <c r="J14" s="9">
        <v>5</v>
      </c>
      <c r="K14" s="18">
        <v>2.3E-2</v>
      </c>
      <c r="L14" s="30">
        <f t="shared" si="2"/>
        <v>0.30183727034120733</v>
      </c>
      <c r="M14" s="30">
        <f t="shared" si="0"/>
        <v>1.5091863517060367</v>
      </c>
      <c r="Q14" s="23"/>
      <c r="R14" s="24"/>
    </row>
    <row r="15" spans="1:20" s="29" customFormat="1">
      <c r="C15" s="71"/>
      <c r="E15" s="71" t="s">
        <v>155</v>
      </c>
      <c r="F15" s="83">
        <v>1.5</v>
      </c>
      <c r="G15" s="79" t="s">
        <v>160</v>
      </c>
      <c r="H15" s="85">
        <f t="shared" si="1"/>
        <v>0.1875</v>
      </c>
      <c r="I15" s="10"/>
      <c r="J15" s="10"/>
      <c r="K15" s="13">
        <v>0</v>
      </c>
      <c r="L15" s="30">
        <f t="shared" si="2"/>
        <v>0</v>
      </c>
      <c r="M15" s="30">
        <f t="shared" si="0"/>
        <v>0</v>
      </c>
      <c r="Q15" s="23"/>
      <c r="R15" s="24"/>
    </row>
    <row r="16" spans="1:20" s="29" customFormat="1">
      <c r="C16" s="71"/>
      <c r="E16" s="71" t="s">
        <v>164</v>
      </c>
      <c r="F16" s="88">
        <v>0.5</v>
      </c>
      <c r="G16" s="82" t="s">
        <v>162</v>
      </c>
      <c r="H16" s="85">
        <f t="shared" si="1"/>
        <v>6.25E-2</v>
      </c>
      <c r="I16" s="10" t="s">
        <v>270</v>
      </c>
      <c r="J16" s="9">
        <v>2</v>
      </c>
      <c r="K16" s="18">
        <v>0.48</v>
      </c>
      <c r="L16" s="30">
        <f t="shared" si="2"/>
        <v>6.2992125984251963</v>
      </c>
      <c r="M16" s="30">
        <f t="shared" si="0"/>
        <v>12.598425196850393</v>
      </c>
      <c r="Q16" s="23"/>
      <c r="R16" s="24"/>
    </row>
    <row r="17" spans="3:18" s="29" customFormat="1">
      <c r="C17" s="80" t="s">
        <v>1318</v>
      </c>
      <c r="D17" s="6" t="s">
        <v>150</v>
      </c>
      <c r="E17" s="71" t="s">
        <v>168</v>
      </c>
      <c r="F17" s="83">
        <v>2</v>
      </c>
      <c r="G17" s="82" t="s">
        <v>162</v>
      </c>
      <c r="H17" s="85">
        <f t="shared" si="1"/>
        <v>0.25</v>
      </c>
      <c r="I17" s="10" t="s">
        <v>25</v>
      </c>
      <c r="J17" s="9">
        <v>4</v>
      </c>
      <c r="K17" s="18">
        <v>1</v>
      </c>
      <c r="L17" s="30">
        <f t="shared" si="2"/>
        <v>13.123359580052494</v>
      </c>
      <c r="M17" s="30">
        <f t="shared" si="0"/>
        <v>52.493438320209975</v>
      </c>
      <c r="Q17" s="23"/>
      <c r="R17" s="24"/>
    </row>
    <row r="18" spans="3:18" s="29" customFormat="1">
      <c r="E18" s="5" t="s">
        <v>169</v>
      </c>
      <c r="F18" s="83">
        <v>1</v>
      </c>
      <c r="G18" s="79" t="s">
        <v>160</v>
      </c>
      <c r="H18" s="85">
        <f t="shared" si="1"/>
        <v>0.125</v>
      </c>
      <c r="J18" s="35"/>
      <c r="K18" s="18">
        <v>0</v>
      </c>
      <c r="L18" s="30">
        <f t="shared" si="2"/>
        <v>0</v>
      </c>
      <c r="M18" s="30">
        <f t="shared" si="0"/>
        <v>0</v>
      </c>
      <c r="Q18" s="23"/>
      <c r="R18" s="24">
        <v>0.65</v>
      </c>
    </row>
    <row r="19" spans="3:18" s="29" customFormat="1">
      <c r="C19" s="71"/>
      <c r="E19" s="71" t="s">
        <v>170</v>
      </c>
      <c r="F19" s="83">
        <v>4</v>
      </c>
      <c r="G19" s="82" t="s">
        <v>163</v>
      </c>
      <c r="H19" s="85">
        <f t="shared" si="1"/>
        <v>0.5</v>
      </c>
      <c r="I19" s="10" t="s">
        <v>166</v>
      </c>
      <c r="J19" s="9">
        <v>5</v>
      </c>
      <c r="K19" s="18">
        <v>1</v>
      </c>
      <c r="L19" s="30">
        <f t="shared" si="2"/>
        <v>13.123359580052494</v>
      </c>
      <c r="M19" s="30">
        <f t="shared" si="0"/>
        <v>65.616797900262469</v>
      </c>
      <c r="Q19" s="23"/>
      <c r="R19" s="24"/>
    </row>
    <row r="20" spans="3:18" s="29" customFormat="1">
      <c r="C20" s="71"/>
      <c r="E20" s="71" t="s">
        <v>171</v>
      </c>
      <c r="F20" s="83">
        <v>2</v>
      </c>
      <c r="G20" s="82" t="s">
        <v>163</v>
      </c>
      <c r="H20" s="85">
        <f t="shared" si="1"/>
        <v>0.25</v>
      </c>
      <c r="I20" s="10" t="s">
        <v>18</v>
      </c>
      <c r="J20" s="9">
        <v>5</v>
      </c>
      <c r="K20" s="13">
        <v>0.125</v>
      </c>
      <c r="L20" s="30">
        <f t="shared" si="2"/>
        <v>1.6404199475065617</v>
      </c>
      <c r="M20" s="30">
        <f t="shared" si="0"/>
        <v>8.2020997375328086</v>
      </c>
      <c r="Q20" s="23"/>
      <c r="R20" s="24"/>
    </row>
    <row r="21" spans="3:18" s="29" customFormat="1">
      <c r="C21" s="71"/>
      <c r="E21" s="71" t="s">
        <v>172</v>
      </c>
      <c r="F21" s="83">
        <v>0.33</v>
      </c>
      <c r="G21" s="82" t="s">
        <v>162</v>
      </c>
      <c r="H21" s="85">
        <f>F21/8</f>
        <v>4.1250000000000002E-2</v>
      </c>
      <c r="I21" s="10" t="s">
        <v>271</v>
      </c>
      <c r="J21" s="9">
        <v>2</v>
      </c>
      <c r="K21" s="13">
        <v>0.32</v>
      </c>
      <c r="L21" s="30">
        <f t="shared" si="2"/>
        <v>4.1994750656167978</v>
      </c>
      <c r="M21" s="30">
        <f t="shared" si="0"/>
        <v>8.3989501312335957</v>
      </c>
      <c r="Q21" s="23"/>
      <c r="R21" s="24"/>
    </row>
    <row r="22" spans="3:18" s="29" customFormat="1">
      <c r="C22" s="71"/>
      <c r="E22" s="71" t="s">
        <v>175</v>
      </c>
      <c r="F22" s="83">
        <v>3</v>
      </c>
      <c r="G22" s="82" t="s">
        <v>163</v>
      </c>
      <c r="H22" s="85">
        <f t="shared" si="1"/>
        <v>0.375</v>
      </c>
      <c r="I22" s="10" t="s">
        <v>16</v>
      </c>
      <c r="J22" s="9">
        <v>5</v>
      </c>
      <c r="K22" s="13">
        <v>0.38</v>
      </c>
      <c r="L22" s="30">
        <f t="shared" si="2"/>
        <v>4.9868766404199478</v>
      </c>
      <c r="M22" s="30">
        <f t="shared" si="0"/>
        <v>24.934383202099738</v>
      </c>
      <c r="Q22" s="23"/>
      <c r="R22" s="24"/>
    </row>
    <row r="23" spans="3:18" s="29" customFormat="1">
      <c r="C23" s="71"/>
      <c r="E23" s="71" t="s">
        <v>154</v>
      </c>
      <c r="F23" s="83">
        <v>2</v>
      </c>
      <c r="G23" s="79" t="s">
        <v>160</v>
      </c>
      <c r="H23" s="85">
        <f t="shared" si="1"/>
        <v>0.25</v>
      </c>
      <c r="I23" s="10" t="s">
        <v>56</v>
      </c>
      <c r="J23" s="9">
        <v>5</v>
      </c>
      <c r="K23" s="18">
        <v>1.4999999999999999E-2</v>
      </c>
      <c r="L23" s="30">
        <f t="shared" si="2"/>
        <v>0.19685039370078738</v>
      </c>
      <c r="M23" s="30">
        <f t="shared" si="0"/>
        <v>0.98425196850393692</v>
      </c>
      <c r="Q23" s="23"/>
      <c r="R23" s="24"/>
    </row>
    <row r="24" spans="3:18" s="29" customFormat="1">
      <c r="C24" s="71"/>
      <c r="E24" s="71" t="s">
        <v>176</v>
      </c>
      <c r="F24" s="83">
        <v>1</v>
      </c>
      <c r="G24" s="79" t="s">
        <v>160</v>
      </c>
      <c r="H24" s="85">
        <f t="shared" si="1"/>
        <v>0.125</v>
      </c>
      <c r="I24" s="10" t="s">
        <v>18</v>
      </c>
      <c r="J24" s="9">
        <v>5</v>
      </c>
      <c r="K24" s="18">
        <v>8.0000000000000004E-4</v>
      </c>
      <c r="L24" s="30">
        <f t="shared" si="2"/>
        <v>1.0498687664041995E-2</v>
      </c>
      <c r="M24" s="30">
        <f t="shared" si="0"/>
        <v>5.2493438320209973E-2</v>
      </c>
      <c r="Q24" s="23"/>
      <c r="R24" s="24"/>
    </row>
    <row r="25" spans="3:18" s="29" customFormat="1">
      <c r="C25" s="71"/>
      <c r="E25" s="71" t="s">
        <v>177</v>
      </c>
      <c r="F25" s="83">
        <v>1.25</v>
      </c>
      <c r="G25" s="82" t="s">
        <v>162</v>
      </c>
      <c r="H25" s="85">
        <f t="shared" si="1"/>
        <v>0.15625</v>
      </c>
      <c r="J25" s="35"/>
      <c r="K25" s="18">
        <v>0</v>
      </c>
      <c r="L25" s="30">
        <f t="shared" si="2"/>
        <v>0</v>
      </c>
      <c r="M25" s="30">
        <f t="shared" si="0"/>
        <v>0</v>
      </c>
      <c r="Q25" s="23"/>
      <c r="R25" s="24"/>
    </row>
    <row r="26" spans="3:18" s="29" customFormat="1">
      <c r="C26" s="71"/>
      <c r="E26" s="71" t="s">
        <v>151</v>
      </c>
      <c r="F26" s="83">
        <v>1</v>
      </c>
      <c r="G26" s="82" t="s">
        <v>162</v>
      </c>
      <c r="H26" s="85">
        <f t="shared" si="1"/>
        <v>0.125</v>
      </c>
      <c r="J26" s="35"/>
      <c r="K26" s="18">
        <v>0</v>
      </c>
      <c r="L26" s="30">
        <f t="shared" si="2"/>
        <v>0</v>
      </c>
      <c r="M26" s="30">
        <f t="shared" si="0"/>
        <v>0</v>
      </c>
      <c r="Q26" s="23"/>
      <c r="R26" s="24"/>
    </row>
    <row r="27" spans="3:18" s="29" customFormat="1">
      <c r="C27" s="71"/>
      <c r="E27" s="71" t="s">
        <v>156</v>
      </c>
      <c r="F27" s="83">
        <v>1</v>
      </c>
      <c r="G27" s="79" t="s">
        <v>160</v>
      </c>
      <c r="H27" s="85">
        <f t="shared" si="1"/>
        <v>0.125</v>
      </c>
      <c r="I27" s="10" t="s">
        <v>14</v>
      </c>
      <c r="J27" s="9">
        <v>5</v>
      </c>
      <c r="K27" s="13">
        <v>0</v>
      </c>
      <c r="L27" s="30">
        <f t="shared" si="2"/>
        <v>0</v>
      </c>
      <c r="M27" s="30">
        <f t="shared" si="0"/>
        <v>0</v>
      </c>
      <c r="Q27" s="23"/>
      <c r="R27" s="24"/>
    </row>
    <row r="28" spans="3:18" s="29" customFormat="1">
      <c r="C28" s="71"/>
      <c r="E28" s="71" t="s">
        <v>178</v>
      </c>
      <c r="F28" s="83">
        <v>1</v>
      </c>
      <c r="G28" s="79" t="s">
        <v>161</v>
      </c>
      <c r="H28" s="85">
        <f t="shared" si="1"/>
        <v>0.125</v>
      </c>
      <c r="I28" s="10" t="s">
        <v>56</v>
      </c>
      <c r="J28" s="9">
        <v>5</v>
      </c>
      <c r="K28" s="13">
        <v>0</v>
      </c>
      <c r="L28" s="30">
        <f t="shared" si="2"/>
        <v>0</v>
      </c>
      <c r="M28" s="30">
        <f t="shared" si="0"/>
        <v>0</v>
      </c>
      <c r="Q28" s="23"/>
      <c r="R28" s="24"/>
    </row>
    <row r="29" spans="3:18" s="29" customFormat="1">
      <c r="C29" s="6" t="s">
        <v>1320</v>
      </c>
      <c r="D29" s="6" t="s">
        <v>150</v>
      </c>
      <c r="E29" s="71" t="s">
        <v>179</v>
      </c>
      <c r="F29" s="83">
        <v>0.75</v>
      </c>
      <c r="G29" s="82" t="s">
        <v>162</v>
      </c>
      <c r="H29" s="85">
        <f>F29/24</f>
        <v>3.125E-2</v>
      </c>
      <c r="I29" s="10" t="s">
        <v>25</v>
      </c>
      <c r="J29" s="9">
        <v>4</v>
      </c>
      <c r="K29" s="13">
        <v>0.01</v>
      </c>
      <c r="L29" s="30">
        <f t="shared" si="2"/>
        <v>0.13123359580052493</v>
      </c>
      <c r="M29" s="30">
        <f t="shared" si="0"/>
        <v>0.52493438320209973</v>
      </c>
      <c r="Q29" s="23"/>
      <c r="R29" s="24"/>
    </row>
    <row r="30" spans="3:18" s="29" customFormat="1">
      <c r="C30" s="71"/>
      <c r="E30" s="71" t="s">
        <v>180</v>
      </c>
      <c r="F30" s="83">
        <v>0.75</v>
      </c>
      <c r="G30" s="82" t="s">
        <v>162</v>
      </c>
      <c r="H30" s="85">
        <f t="shared" ref="H30:H39" si="3">F30/24</f>
        <v>3.125E-2</v>
      </c>
      <c r="I30" s="10" t="s">
        <v>25</v>
      </c>
      <c r="J30" s="9">
        <v>4</v>
      </c>
      <c r="K30" s="13">
        <v>0.01</v>
      </c>
      <c r="L30" s="30">
        <f t="shared" si="2"/>
        <v>0.13123359580052493</v>
      </c>
      <c r="M30" s="30">
        <f t="shared" si="0"/>
        <v>0.52493438320209973</v>
      </c>
      <c r="Q30" s="23"/>
      <c r="R30" s="24"/>
    </row>
    <row r="31" spans="3:18" s="29" customFormat="1">
      <c r="C31" s="71"/>
      <c r="E31" s="71" t="s">
        <v>181</v>
      </c>
      <c r="F31" s="83">
        <v>0.25</v>
      </c>
      <c r="G31" s="82" t="s">
        <v>162</v>
      </c>
      <c r="H31" s="85">
        <f t="shared" si="3"/>
        <v>1.0416666666666666E-2</v>
      </c>
      <c r="I31" s="10" t="s">
        <v>190</v>
      </c>
      <c r="J31" s="9">
        <v>2</v>
      </c>
      <c r="K31" s="13">
        <v>0.16</v>
      </c>
      <c r="L31" s="30">
        <f t="shared" si="2"/>
        <v>2.0997375328083989</v>
      </c>
      <c r="M31" s="30">
        <f t="shared" si="0"/>
        <v>4.1994750656167978</v>
      </c>
      <c r="Q31" s="23"/>
      <c r="R31" s="24"/>
    </row>
    <row r="32" spans="3:18" s="29" customFormat="1">
      <c r="C32" s="71"/>
      <c r="E32" s="5" t="s">
        <v>182</v>
      </c>
      <c r="F32" s="83">
        <v>1</v>
      </c>
      <c r="G32" s="79" t="s">
        <v>161</v>
      </c>
      <c r="H32" s="85">
        <f t="shared" si="3"/>
        <v>4.1666666666666664E-2</v>
      </c>
      <c r="J32" s="35"/>
      <c r="K32" s="18">
        <v>0</v>
      </c>
      <c r="L32" s="30">
        <f t="shared" si="2"/>
        <v>0</v>
      </c>
      <c r="M32" s="30">
        <f t="shared" si="0"/>
        <v>0</v>
      </c>
      <c r="Q32" s="23"/>
      <c r="R32" s="24"/>
    </row>
    <row r="33" spans="1:18" s="29" customFormat="1">
      <c r="C33" s="71"/>
      <c r="E33" s="71" t="s">
        <v>183</v>
      </c>
      <c r="F33" s="83">
        <v>2</v>
      </c>
      <c r="G33" s="82" t="s">
        <v>163</v>
      </c>
      <c r="H33" s="85">
        <f t="shared" si="3"/>
        <v>8.3333333333333329E-2</v>
      </c>
      <c r="I33" s="10" t="s">
        <v>30</v>
      </c>
      <c r="J33" s="9">
        <v>2</v>
      </c>
      <c r="K33" s="18">
        <v>0.08</v>
      </c>
      <c r="L33" s="30">
        <f t="shared" si="2"/>
        <v>1.0498687664041995</v>
      </c>
      <c r="M33" s="30">
        <f t="shared" si="0"/>
        <v>2.0997375328083989</v>
      </c>
      <c r="Q33" s="23"/>
      <c r="R33" s="24"/>
    </row>
    <row r="34" spans="1:18" s="29" customFormat="1">
      <c r="C34" s="71"/>
      <c r="E34" s="71" t="s">
        <v>184</v>
      </c>
      <c r="F34" s="83">
        <v>2</v>
      </c>
      <c r="G34" s="79" t="s">
        <v>160</v>
      </c>
      <c r="H34" s="85">
        <f t="shared" si="3"/>
        <v>8.3333333333333329E-2</v>
      </c>
      <c r="I34" s="10" t="s">
        <v>167</v>
      </c>
      <c r="J34" s="9">
        <v>3</v>
      </c>
      <c r="K34" s="18">
        <v>5.0000000000000001E-4</v>
      </c>
      <c r="L34" s="30">
        <f t="shared" si="2"/>
        <v>6.5616797900262466E-3</v>
      </c>
      <c r="M34" s="30">
        <f t="shared" si="0"/>
        <v>1.968503937007874E-2</v>
      </c>
      <c r="Q34" s="23"/>
      <c r="R34" s="24"/>
    </row>
    <row r="35" spans="1:18" s="29" customFormat="1">
      <c r="C35" s="71"/>
      <c r="E35" s="71" t="s">
        <v>185</v>
      </c>
      <c r="F35" s="83">
        <v>2</v>
      </c>
      <c r="G35" s="79" t="s">
        <v>160</v>
      </c>
      <c r="H35" s="85">
        <f t="shared" si="3"/>
        <v>8.3333333333333329E-2</v>
      </c>
      <c r="I35" s="10"/>
      <c r="J35" s="10"/>
      <c r="K35" s="13">
        <v>0</v>
      </c>
      <c r="L35" s="30">
        <f t="shared" si="2"/>
        <v>0</v>
      </c>
      <c r="M35" s="30">
        <f t="shared" si="0"/>
        <v>0</v>
      </c>
      <c r="Q35" s="23"/>
      <c r="R35" s="24">
        <v>1.2</v>
      </c>
    </row>
    <row r="36" spans="1:18" s="29" customFormat="1">
      <c r="C36" s="71"/>
      <c r="E36" s="71" t="s">
        <v>186</v>
      </c>
      <c r="F36" s="83">
        <v>2</v>
      </c>
      <c r="G36" s="79" t="s">
        <v>160</v>
      </c>
      <c r="H36" s="85">
        <f t="shared" si="3"/>
        <v>8.3333333333333329E-2</v>
      </c>
      <c r="I36" s="10" t="s">
        <v>190</v>
      </c>
      <c r="J36" s="9">
        <v>2</v>
      </c>
      <c r="K36" s="13">
        <v>0.08</v>
      </c>
      <c r="L36" s="30">
        <f t="shared" si="2"/>
        <v>1.0498687664041995</v>
      </c>
      <c r="M36" s="30">
        <f t="shared" si="0"/>
        <v>2.0997375328083989</v>
      </c>
      <c r="Q36" s="23"/>
      <c r="R36" s="24"/>
    </row>
    <row r="37" spans="1:18" s="29" customFormat="1">
      <c r="C37" s="71"/>
      <c r="E37" s="5" t="s">
        <v>187</v>
      </c>
      <c r="F37" s="83">
        <v>0.5</v>
      </c>
      <c r="G37" s="79" t="s">
        <v>161</v>
      </c>
      <c r="H37" s="85">
        <f t="shared" si="3"/>
        <v>2.0833333333333332E-2</v>
      </c>
      <c r="J37" s="35"/>
      <c r="K37" s="18">
        <v>0</v>
      </c>
      <c r="L37" s="30">
        <f t="shared" si="2"/>
        <v>0</v>
      </c>
      <c r="M37" s="30">
        <f t="shared" si="0"/>
        <v>0</v>
      </c>
      <c r="Q37" s="23"/>
      <c r="R37" s="24"/>
    </row>
    <row r="38" spans="1:18" s="29" customFormat="1">
      <c r="C38" s="71"/>
      <c r="E38" s="71" t="s">
        <v>188</v>
      </c>
      <c r="F38" s="83">
        <f>2/3</f>
        <v>0.66666666666666663</v>
      </c>
      <c r="G38" s="82" t="s">
        <v>162</v>
      </c>
      <c r="H38" s="85">
        <f t="shared" si="3"/>
        <v>2.7777777777777776E-2</v>
      </c>
      <c r="I38" s="10" t="s">
        <v>18</v>
      </c>
      <c r="J38" s="9">
        <v>5</v>
      </c>
      <c r="K38" s="18">
        <v>0.25</v>
      </c>
      <c r="L38" s="30">
        <f t="shared" si="2"/>
        <v>3.2808398950131235</v>
      </c>
      <c r="M38" s="30">
        <f t="shared" si="0"/>
        <v>16.404199475065617</v>
      </c>
      <c r="Q38" s="23"/>
      <c r="R38" s="24"/>
    </row>
    <row r="39" spans="1:18" s="29" customFormat="1">
      <c r="C39" s="71"/>
      <c r="E39" s="71" t="s">
        <v>189</v>
      </c>
      <c r="F39" s="83">
        <v>0.25</v>
      </c>
      <c r="G39" s="82" t="s">
        <v>162</v>
      </c>
      <c r="H39" s="85">
        <f t="shared" si="3"/>
        <v>1.0416666666666666E-2</v>
      </c>
      <c r="I39" s="10" t="s">
        <v>191</v>
      </c>
      <c r="J39" s="9">
        <v>2</v>
      </c>
      <c r="K39" s="18">
        <v>0.16700000000000001</v>
      </c>
      <c r="L39" s="30">
        <f t="shared" si="2"/>
        <v>2.1916010498687664</v>
      </c>
      <c r="M39" s="30">
        <f t="shared" si="0"/>
        <v>4.3832020997375327</v>
      </c>
      <c r="Q39" s="23"/>
      <c r="R39" s="24"/>
    </row>
    <row r="40" spans="1:18" s="29" customFormat="1" ht="17.25" thickBot="1">
      <c r="A40" s="37"/>
      <c r="B40" s="37"/>
      <c r="C40" s="72"/>
      <c r="D40" s="37"/>
      <c r="E40" s="72"/>
      <c r="F40" s="87"/>
      <c r="G40" s="37"/>
      <c r="H40" s="86"/>
      <c r="I40" s="37"/>
      <c r="J40" s="39"/>
      <c r="K40" s="26">
        <f>SUM(K6:K39)</f>
        <v>7.624299999999999</v>
      </c>
      <c r="L40" s="38">
        <f>SUM(L6:L39)</f>
        <v>100.05643044619423</v>
      </c>
      <c r="M40" s="38"/>
      <c r="N40" s="38">
        <f>SUM(M6:M39)</f>
        <v>409.96719160104988</v>
      </c>
      <c r="O40" s="37"/>
      <c r="P40" s="37" t="s">
        <v>192</v>
      </c>
      <c r="Q40" s="48">
        <f>SUM(Q2:Q34)</f>
        <v>0.44500000000000001</v>
      </c>
      <c r="R40" s="49">
        <f>SUM(R6:R39)</f>
        <v>5.6000000000000005</v>
      </c>
    </row>
    <row r="41" spans="1:18">
      <c r="A41" s="6">
        <v>3</v>
      </c>
      <c r="B41" s="7" t="s">
        <v>294</v>
      </c>
      <c r="C41" s="6" t="s">
        <v>1321</v>
      </c>
      <c r="D41" s="6" t="s">
        <v>150</v>
      </c>
      <c r="E41" s="71" t="s">
        <v>193</v>
      </c>
      <c r="F41" s="83">
        <v>20</v>
      </c>
      <c r="G41" s="29" t="s">
        <v>194</v>
      </c>
      <c r="H41" s="85">
        <f>F41/4</f>
        <v>5</v>
      </c>
      <c r="I41" s="10" t="s">
        <v>203</v>
      </c>
      <c r="J41" s="9">
        <v>1</v>
      </c>
      <c r="K41" s="13">
        <v>5</v>
      </c>
      <c r="L41" s="92">
        <f>K41/11.31*100</f>
        <v>44.208664898320073</v>
      </c>
      <c r="M41" s="30">
        <f t="shared" si="0"/>
        <v>44.208664898320073</v>
      </c>
    </row>
    <row r="42" spans="1:18">
      <c r="E42" s="71" t="s">
        <v>195</v>
      </c>
      <c r="F42" s="83">
        <v>0.5</v>
      </c>
      <c r="G42" s="79" t="s">
        <v>161</v>
      </c>
      <c r="H42" s="85">
        <f t="shared" ref="H42:H50" si="4">F42/4</f>
        <v>0.125</v>
      </c>
      <c r="K42" s="13">
        <v>0</v>
      </c>
      <c r="L42" s="92">
        <f t="shared" ref="L42:L69" si="5">K42/11.31*100</f>
        <v>0</v>
      </c>
      <c r="M42" s="30">
        <f t="shared" si="0"/>
        <v>0</v>
      </c>
      <c r="Q42" s="90">
        <v>0.39</v>
      </c>
    </row>
    <row r="43" spans="1:18">
      <c r="E43" s="71" t="s">
        <v>169</v>
      </c>
      <c r="F43" s="83">
        <v>1.5</v>
      </c>
      <c r="G43" s="79" t="s">
        <v>160</v>
      </c>
      <c r="H43" s="85">
        <f t="shared" si="4"/>
        <v>0.375</v>
      </c>
      <c r="K43" s="13">
        <v>0</v>
      </c>
      <c r="L43" s="92">
        <f t="shared" si="5"/>
        <v>0</v>
      </c>
      <c r="M43" s="30">
        <f t="shared" si="0"/>
        <v>0</v>
      </c>
      <c r="R43" s="91">
        <v>5.7</v>
      </c>
    </row>
    <row r="44" spans="1:18">
      <c r="E44" s="71" t="s">
        <v>196</v>
      </c>
      <c r="F44" s="83">
        <v>1</v>
      </c>
      <c r="G44" s="82" t="s">
        <v>163</v>
      </c>
      <c r="H44" s="85">
        <f t="shared" si="4"/>
        <v>0.25</v>
      </c>
      <c r="I44" s="10" t="s">
        <v>14</v>
      </c>
      <c r="J44" s="9">
        <v>5</v>
      </c>
      <c r="K44" s="2">
        <v>0.5</v>
      </c>
      <c r="L44" s="92">
        <f t="shared" si="5"/>
        <v>4.4208664898320063</v>
      </c>
      <c r="M44" s="30">
        <f t="shared" si="0"/>
        <v>22.104332449160033</v>
      </c>
    </row>
    <row r="45" spans="1:18">
      <c r="E45" s="71" t="s">
        <v>197</v>
      </c>
      <c r="F45" s="83">
        <v>2</v>
      </c>
      <c r="G45" s="82" t="s">
        <v>163</v>
      </c>
      <c r="H45" s="85">
        <f t="shared" si="4"/>
        <v>0.5</v>
      </c>
      <c r="I45" s="10" t="s">
        <v>16</v>
      </c>
      <c r="J45" s="9">
        <v>5</v>
      </c>
      <c r="K45" s="2">
        <v>0.5</v>
      </c>
      <c r="L45" s="92">
        <f t="shared" si="5"/>
        <v>4.4208664898320063</v>
      </c>
      <c r="M45" s="30">
        <f t="shared" si="0"/>
        <v>22.104332449160033</v>
      </c>
    </row>
    <row r="46" spans="1:18">
      <c r="E46" s="71" t="s">
        <v>198</v>
      </c>
      <c r="F46" s="83">
        <v>3</v>
      </c>
      <c r="G46" s="82" t="s">
        <v>163</v>
      </c>
      <c r="H46" s="85">
        <f t="shared" si="4"/>
        <v>0.75</v>
      </c>
      <c r="I46" s="10" t="s">
        <v>26</v>
      </c>
      <c r="J46" s="9">
        <v>4</v>
      </c>
      <c r="K46" s="2">
        <v>0.38</v>
      </c>
      <c r="L46" s="92">
        <f t="shared" si="5"/>
        <v>3.3598585322723249</v>
      </c>
      <c r="M46" s="30">
        <f t="shared" si="0"/>
        <v>13.4394341290893</v>
      </c>
    </row>
    <row r="47" spans="1:18">
      <c r="E47" s="71" t="s">
        <v>199</v>
      </c>
      <c r="F47" s="83">
        <v>5</v>
      </c>
      <c r="G47" s="82" t="s">
        <v>163</v>
      </c>
      <c r="H47" s="85">
        <f t="shared" si="4"/>
        <v>1.25</v>
      </c>
      <c r="I47" s="10" t="s">
        <v>135</v>
      </c>
      <c r="J47" s="9">
        <v>2</v>
      </c>
      <c r="K47" s="2">
        <f>H47/10</f>
        <v>0.125</v>
      </c>
      <c r="L47" s="92">
        <f t="shared" si="5"/>
        <v>1.1052166224580016</v>
      </c>
      <c r="M47" s="30">
        <f t="shared" si="0"/>
        <v>2.2104332449160031</v>
      </c>
    </row>
    <row r="48" spans="1:18">
      <c r="E48" s="71" t="s">
        <v>200</v>
      </c>
      <c r="F48" s="83">
        <v>1</v>
      </c>
      <c r="G48" s="79" t="s">
        <v>160</v>
      </c>
      <c r="H48" s="85">
        <f t="shared" si="4"/>
        <v>0.25</v>
      </c>
      <c r="I48" s="10" t="s">
        <v>23</v>
      </c>
      <c r="J48" s="9">
        <v>5</v>
      </c>
      <c r="K48" s="2">
        <v>1.5599999999999999E-2</v>
      </c>
      <c r="L48" s="92">
        <f t="shared" si="5"/>
        <v>0.13793103448275862</v>
      </c>
      <c r="M48" s="30">
        <f t="shared" si="0"/>
        <v>0.68965517241379315</v>
      </c>
    </row>
    <row r="49" spans="3:20">
      <c r="E49" s="71" t="s">
        <v>201</v>
      </c>
      <c r="F49" s="83">
        <v>1</v>
      </c>
      <c r="G49" s="82" t="s">
        <v>163</v>
      </c>
      <c r="H49" s="85">
        <f t="shared" si="4"/>
        <v>0.25</v>
      </c>
      <c r="I49" s="10" t="s">
        <v>23</v>
      </c>
      <c r="J49" s="9">
        <v>5</v>
      </c>
      <c r="K49" s="2">
        <v>1.5599999999999999E-2</v>
      </c>
      <c r="L49" s="92">
        <f t="shared" si="5"/>
        <v>0.13793103448275862</v>
      </c>
      <c r="M49" s="30">
        <f t="shared" si="0"/>
        <v>0.68965517241379315</v>
      </c>
    </row>
    <row r="50" spans="3:20">
      <c r="E50" s="71" t="s">
        <v>202</v>
      </c>
      <c r="F50" s="83">
        <v>1</v>
      </c>
      <c r="G50" s="79" t="s">
        <v>160</v>
      </c>
      <c r="H50" s="85">
        <f t="shared" si="4"/>
        <v>0.25</v>
      </c>
      <c r="I50" s="10" t="s">
        <v>18</v>
      </c>
      <c r="J50" s="9">
        <v>5</v>
      </c>
      <c r="K50" s="2">
        <v>6.25E-2</v>
      </c>
      <c r="L50" s="92">
        <f t="shared" si="5"/>
        <v>0.55260831122900078</v>
      </c>
      <c r="M50" s="30">
        <f t="shared" si="0"/>
        <v>2.7630415561450041</v>
      </c>
    </row>
    <row r="51" spans="3:20">
      <c r="C51" s="71" t="s">
        <v>1322</v>
      </c>
      <c r="D51" s="6" t="s">
        <v>150</v>
      </c>
      <c r="E51" s="71" t="s">
        <v>205</v>
      </c>
      <c r="F51" s="83">
        <v>2</v>
      </c>
      <c r="G51" s="79" t="s">
        <v>160</v>
      </c>
      <c r="H51" s="85">
        <f>F51/6</f>
        <v>0.33333333333333331</v>
      </c>
      <c r="K51" s="2">
        <v>0</v>
      </c>
      <c r="L51" s="92">
        <f t="shared" si="5"/>
        <v>0</v>
      </c>
      <c r="M51" s="30">
        <f t="shared" si="0"/>
        <v>0</v>
      </c>
      <c r="R51" s="91">
        <v>0.23</v>
      </c>
    </row>
    <row r="52" spans="3:20">
      <c r="E52" s="71" t="s">
        <v>206</v>
      </c>
      <c r="F52" s="83">
        <v>0.33</v>
      </c>
      <c r="G52" s="82" t="s">
        <v>162</v>
      </c>
      <c r="H52" s="85">
        <f t="shared" ref="H52:H69" si="6">F52/6</f>
        <v>5.5E-2</v>
      </c>
      <c r="I52" s="10" t="s">
        <v>56</v>
      </c>
      <c r="J52" s="9">
        <v>5</v>
      </c>
      <c r="K52" s="2">
        <v>0.06</v>
      </c>
      <c r="L52" s="92">
        <f t="shared" si="5"/>
        <v>0.53050397877984079</v>
      </c>
      <c r="M52" s="30">
        <f t="shared" si="0"/>
        <v>2.6525198938992038</v>
      </c>
    </row>
    <row r="53" spans="3:20">
      <c r="E53" s="71" t="s">
        <v>207</v>
      </c>
      <c r="F53" s="83">
        <v>4</v>
      </c>
      <c r="G53" s="82" t="s">
        <v>163</v>
      </c>
      <c r="H53" s="85">
        <f t="shared" si="6"/>
        <v>0.66666666666666663</v>
      </c>
      <c r="I53" s="10" t="s">
        <v>16</v>
      </c>
      <c r="J53" s="9">
        <v>5</v>
      </c>
      <c r="K53" s="2">
        <v>0.67</v>
      </c>
      <c r="L53" s="92">
        <f t="shared" si="5"/>
        <v>5.9239610963748897</v>
      </c>
      <c r="M53" s="30">
        <f t="shared" si="0"/>
        <v>29.619805481874447</v>
      </c>
    </row>
    <row r="54" spans="3:20">
      <c r="E54" s="71" t="s">
        <v>169</v>
      </c>
      <c r="F54" s="83">
        <v>0.25</v>
      </c>
      <c r="G54" s="82" t="s">
        <v>162</v>
      </c>
      <c r="H54" s="85">
        <f t="shared" si="6"/>
        <v>4.1666666666666664E-2</v>
      </c>
      <c r="K54" s="2">
        <v>0</v>
      </c>
      <c r="L54" s="92">
        <f t="shared" si="5"/>
        <v>0</v>
      </c>
      <c r="M54" s="30">
        <f t="shared" si="0"/>
        <v>0</v>
      </c>
      <c r="R54" s="91">
        <v>9.4</v>
      </c>
    </row>
    <row r="55" spans="3:20">
      <c r="E55" s="108" t="s">
        <v>208</v>
      </c>
      <c r="F55" s="83">
        <v>15</v>
      </c>
      <c r="G55" s="29" t="s">
        <v>194</v>
      </c>
      <c r="H55" s="85">
        <f t="shared" si="6"/>
        <v>2.5</v>
      </c>
      <c r="I55" s="10" t="s">
        <v>725</v>
      </c>
      <c r="J55" s="9">
        <v>4</v>
      </c>
      <c r="K55" s="2">
        <v>0.6</v>
      </c>
      <c r="L55" s="92">
        <f t="shared" si="5"/>
        <v>5.3050397877984077</v>
      </c>
      <c r="M55" s="30">
        <f t="shared" si="0"/>
        <v>21.220159151193631</v>
      </c>
      <c r="T55" s="6" t="s">
        <v>719</v>
      </c>
    </row>
    <row r="56" spans="3:20">
      <c r="E56" s="71" t="s">
        <v>209</v>
      </c>
      <c r="F56" s="83">
        <v>15</v>
      </c>
      <c r="G56" s="29" t="s">
        <v>194</v>
      </c>
      <c r="H56" s="85">
        <f t="shared" si="6"/>
        <v>2.5</v>
      </c>
      <c r="I56" s="10" t="s">
        <v>288</v>
      </c>
      <c r="J56" s="9">
        <v>2</v>
      </c>
      <c r="K56" s="2">
        <v>0.6</v>
      </c>
      <c r="L56" s="92">
        <f t="shared" si="5"/>
        <v>5.3050397877984077</v>
      </c>
      <c r="M56" s="30">
        <f t="shared" si="0"/>
        <v>10.610079575596815</v>
      </c>
    </row>
    <row r="57" spans="3:20">
      <c r="E57" s="5" t="s">
        <v>210</v>
      </c>
      <c r="F57" s="83">
        <v>1</v>
      </c>
      <c r="G57" s="82" t="s">
        <v>163</v>
      </c>
      <c r="H57" s="85">
        <f t="shared" si="6"/>
        <v>0.16666666666666666</v>
      </c>
      <c r="I57" s="10" t="s">
        <v>14</v>
      </c>
      <c r="J57" s="9">
        <v>5</v>
      </c>
      <c r="K57" s="2">
        <v>0.3</v>
      </c>
      <c r="L57" s="92">
        <f t="shared" si="5"/>
        <v>2.6525198938992038</v>
      </c>
      <c r="M57" s="30">
        <f t="shared" si="0"/>
        <v>13.262599469496019</v>
      </c>
    </row>
    <row r="58" spans="3:20">
      <c r="E58" s="71" t="s">
        <v>211</v>
      </c>
      <c r="F58" s="83">
        <v>6</v>
      </c>
      <c r="G58" s="82" t="s">
        <v>163</v>
      </c>
      <c r="H58" s="85">
        <f t="shared" si="6"/>
        <v>1</v>
      </c>
      <c r="I58" s="10" t="s">
        <v>56</v>
      </c>
      <c r="J58" s="9">
        <v>5</v>
      </c>
      <c r="K58" s="2">
        <v>8.3000000000000004E-2</v>
      </c>
      <c r="L58" s="92">
        <f t="shared" si="5"/>
        <v>0.73386383731211313</v>
      </c>
      <c r="M58" s="30">
        <f t="shared" si="0"/>
        <v>3.6693191865605659</v>
      </c>
    </row>
    <row r="59" spans="3:20">
      <c r="E59" s="71" t="s">
        <v>212</v>
      </c>
      <c r="F59" s="83">
        <v>0.5</v>
      </c>
      <c r="G59" s="82" t="s">
        <v>162</v>
      </c>
      <c r="H59" s="85">
        <f t="shared" si="6"/>
        <v>8.3333333333333329E-2</v>
      </c>
      <c r="I59" s="10" t="s">
        <v>56</v>
      </c>
      <c r="J59" s="9">
        <v>5</v>
      </c>
      <c r="K59" s="2">
        <v>0.08</v>
      </c>
      <c r="L59" s="92">
        <f t="shared" si="5"/>
        <v>0.70733863837312105</v>
      </c>
      <c r="M59" s="30">
        <f t="shared" si="0"/>
        <v>3.5366931918656053</v>
      </c>
    </row>
    <row r="60" spans="3:20">
      <c r="C60" s="71" t="s">
        <v>833</v>
      </c>
      <c r="D60" s="6" t="s">
        <v>150</v>
      </c>
      <c r="E60" s="108" t="s">
        <v>213</v>
      </c>
      <c r="F60" s="83">
        <v>0.33</v>
      </c>
      <c r="G60" s="82" t="s">
        <v>162</v>
      </c>
      <c r="H60" s="85">
        <f t="shared" si="6"/>
        <v>5.5E-2</v>
      </c>
      <c r="I60" s="10" t="s">
        <v>18</v>
      </c>
      <c r="J60" s="9">
        <v>5</v>
      </c>
      <c r="K60" s="2">
        <v>0.5</v>
      </c>
      <c r="L60" s="92">
        <f t="shared" si="5"/>
        <v>4.4208664898320063</v>
      </c>
      <c r="M60" s="30">
        <f t="shared" si="0"/>
        <v>22.104332449160033</v>
      </c>
      <c r="T60" s="6" t="s">
        <v>720</v>
      </c>
    </row>
    <row r="61" spans="3:20">
      <c r="E61" s="71" t="s">
        <v>189</v>
      </c>
      <c r="F61" s="83">
        <v>3</v>
      </c>
      <c r="G61" s="79" t="s">
        <v>160</v>
      </c>
      <c r="H61" s="85">
        <f t="shared" si="6"/>
        <v>0.5</v>
      </c>
      <c r="I61" s="10" t="s">
        <v>191</v>
      </c>
      <c r="J61" s="9">
        <v>2</v>
      </c>
      <c r="K61" s="2">
        <v>0.5</v>
      </c>
      <c r="L61" s="92">
        <f t="shared" si="5"/>
        <v>4.4208664898320063</v>
      </c>
      <c r="M61" s="30">
        <f t="shared" si="0"/>
        <v>8.8417329796640125</v>
      </c>
    </row>
    <row r="62" spans="3:20">
      <c r="E62" s="108" t="s">
        <v>721</v>
      </c>
      <c r="F62" s="83">
        <v>1</v>
      </c>
      <c r="G62" s="79" t="s">
        <v>160</v>
      </c>
      <c r="H62" s="85">
        <f t="shared" si="6"/>
        <v>0.16666666666666666</v>
      </c>
      <c r="I62" s="10" t="s">
        <v>25</v>
      </c>
      <c r="J62" s="9">
        <v>4</v>
      </c>
      <c r="K62" s="2">
        <v>5.6000000000000001E-2</v>
      </c>
      <c r="L62" s="92">
        <f t="shared" si="5"/>
        <v>0.49513704686118482</v>
      </c>
      <c r="M62" s="30">
        <f t="shared" si="0"/>
        <v>1.9805481874447393</v>
      </c>
      <c r="T62" s="6" t="s">
        <v>722</v>
      </c>
    </row>
    <row r="63" spans="3:20">
      <c r="E63" s="71" t="s">
        <v>181</v>
      </c>
      <c r="F63" s="83">
        <v>1</v>
      </c>
      <c r="G63" s="79" t="s">
        <v>160</v>
      </c>
      <c r="H63" s="85">
        <f t="shared" si="6"/>
        <v>0.16666666666666666</v>
      </c>
      <c r="I63" s="10" t="s">
        <v>190</v>
      </c>
      <c r="J63" s="9">
        <v>2</v>
      </c>
      <c r="K63" s="2">
        <v>0.17</v>
      </c>
      <c r="L63" s="92">
        <f t="shared" si="5"/>
        <v>1.5030946065428823</v>
      </c>
      <c r="M63" s="30">
        <f t="shared" si="0"/>
        <v>3.0061892130857646</v>
      </c>
    </row>
    <row r="64" spans="3:20">
      <c r="E64" s="71" t="s">
        <v>214</v>
      </c>
      <c r="F64" s="83">
        <v>0.5</v>
      </c>
      <c r="G64" s="79" t="s">
        <v>161</v>
      </c>
      <c r="H64" s="85">
        <f t="shared" si="6"/>
        <v>8.3333333333333329E-2</v>
      </c>
      <c r="K64" s="2">
        <v>0</v>
      </c>
      <c r="L64" s="92">
        <f t="shared" si="5"/>
        <v>0</v>
      </c>
      <c r="M64" s="30">
        <f t="shared" si="0"/>
        <v>0</v>
      </c>
    </row>
    <row r="65" spans="1:18">
      <c r="E65" s="71" t="s">
        <v>215</v>
      </c>
      <c r="F65" s="83">
        <f>1/8</f>
        <v>0.125</v>
      </c>
      <c r="G65" s="79" t="s">
        <v>161</v>
      </c>
      <c r="H65" s="85">
        <f t="shared" si="6"/>
        <v>2.0833333333333332E-2</v>
      </c>
      <c r="I65" s="10" t="s">
        <v>191</v>
      </c>
      <c r="J65" s="9">
        <v>2</v>
      </c>
      <c r="K65" s="2">
        <v>0</v>
      </c>
      <c r="L65" s="92">
        <f t="shared" si="5"/>
        <v>0</v>
      </c>
      <c r="M65" s="30">
        <f t="shared" si="0"/>
        <v>0</v>
      </c>
    </row>
    <row r="66" spans="1:18">
      <c r="E66" s="71" t="s">
        <v>216</v>
      </c>
      <c r="F66" s="83">
        <v>0.75</v>
      </c>
      <c r="G66" s="29" t="s">
        <v>217</v>
      </c>
      <c r="H66" s="85">
        <f t="shared" si="6"/>
        <v>0.125</v>
      </c>
      <c r="I66" s="10" t="s">
        <v>18</v>
      </c>
      <c r="J66" s="9">
        <v>5</v>
      </c>
      <c r="K66" s="2">
        <v>0.6</v>
      </c>
      <c r="L66" s="92">
        <f t="shared" si="5"/>
        <v>5.3050397877984077</v>
      </c>
      <c r="M66" s="30">
        <f t="shared" ref="M66:M129" si="7">L66*J66</f>
        <v>26.525198938992038</v>
      </c>
    </row>
    <row r="67" spans="1:18">
      <c r="E67" s="71" t="s">
        <v>218</v>
      </c>
      <c r="F67" s="83">
        <v>0.5</v>
      </c>
      <c r="G67" s="82" t="s">
        <v>162</v>
      </c>
      <c r="H67" s="85">
        <f t="shared" si="6"/>
        <v>8.3333333333333329E-2</v>
      </c>
      <c r="I67" s="10" t="s">
        <v>18</v>
      </c>
      <c r="J67" s="9">
        <v>5</v>
      </c>
      <c r="K67" s="2">
        <v>0.16</v>
      </c>
      <c r="L67" s="92">
        <f t="shared" si="5"/>
        <v>1.4146772767462421</v>
      </c>
      <c r="M67" s="30">
        <f t="shared" si="7"/>
        <v>7.0733863837312105</v>
      </c>
    </row>
    <row r="68" spans="1:18">
      <c r="E68" s="71" t="s">
        <v>186</v>
      </c>
      <c r="F68" s="83">
        <v>2</v>
      </c>
      <c r="G68" s="79" t="s">
        <v>160</v>
      </c>
      <c r="H68" s="85">
        <f t="shared" si="6"/>
        <v>0.33333333333333331</v>
      </c>
      <c r="I68" s="10" t="s">
        <v>190</v>
      </c>
      <c r="J68" s="9">
        <v>2</v>
      </c>
      <c r="K68" s="2">
        <v>0.33</v>
      </c>
      <c r="L68" s="92">
        <f t="shared" si="5"/>
        <v>2.9177718832891246</v>
      </c>
      <c r="M68" s="30">
        <f t="shared" si="7"/>
        <v>5.8355437665782492</v>
      </c>
    </row>
    <row r="69" spans="1:18">
      <c r="E69" s="71" t="s">
        <v>219</v>
      </c>
      <c r="F69" s="83">
        <v>2</v>
      </c>
      <c r="G69" s="79" t="s">
        <v>160</v>
      </c>
      <c r="H69" s="85">
        <f t="shared" si="6"/>
        <v>0.33333333333333331</v>
      </c>
      <c r="K69" s="2">
        <v>0</v>
      </c>
      <c r="L69" s="92">
        <f t="shared" si="5"/>
        <v>0</v>
      </c>
      <c r="M69" s="30">
        <f t="shared" si="7"/>
        <v>0</v>
      </c>
      <c r="R69" s="91">
        <v>4.95</v>
      </c>
    </row>
    <row r="70" spans="1:18" ht="17.25" thickBot="1">
      <c r="A70" s="93"/>
      <c r="B70" s="93"/>
      <c r="C70" s="72"/>
      <c r="D70" s="93"/>
      <c r="E70" s="72"/>
      <c r="F70" s="87"/>
      <c r="G70" s="37"/>
      <c r="H70" s="86"/>
      <c r="I70" s="93"/>
      <c r="J70" s="93"/>
      <c r="K70" s="26">
        <f>SUM(K41:K69)</f>
        <v>11.307699999999999</v>
      </c>
      <c r="L70" s="94">
        <f>SUM(L41:L69)</f>
        <v>99.979664014146792</v>
      </c>
      <c r="M70" s="93"/>
      <c r="N70" s="94">
        <f>SUM(M41:M69)</f>
        <v>268.14765694076038</v>
      </c>
      <c r="O70" s="37" t="s">
        <v>221</v>
      </c>
      <c r="P70" s="37" t="s">
        <v>162</v>
      </c>
      <c r="Q70" s="95"/>
      <c r="R70" s="96">
        <f>SUM(R41:R69)</f>
        <v>20.28</v>
      </c>
    </row>
    <row r="71" spans="1:18">
      <c r="A71" s="6">
        <v>4</v>
      </c>
      <c r="B71" s="7" t="s">
        <v>295</v>
      </c>
      <c r="C71" s="71" t="s">
        <v>1323</v>
      </c>
      <c r="D71" s="6" t="s">
        <v>150</v>
      </c>
      <c r="E71" s="138" t="s">
        <v>222</v>
      </c>
      <c r="F71" s="83">
        <v>4</v>
      </c>
      <c r="G71" s="79" t="s">
        <v>160</v>
      </c>
      <c r="H71" s="85">
        <f>F71/4</f>
        <v>1</v>
      </c>
      <c r="I71" s="10" t="s">
        <v>56</v>
      </c>
      <c r="J71" s="9">
        <v>5</v>
      </c>
      <c r="K71" s="2">
        <v>0.06</v>
      </c>
      <c r="L71" s="92">
        <f>K71/11.54*100</f>
        <v>0.51993067590987874</v>
      </c>
      <c r="M71" s="30">
        <f t="shared" si="7"/>
        <v>2.5996533795493937</v>
      </c>
    </row>
    <row r="72" spans="1:18">
      <c r="E72" s="71" t="s">
        <v>223</v>
      </c>
      <c r="F72" s="83">
        <v>1</v>
      </c>
      <c r="G72" s="79" t="s">
        <v>160</v>
      </c>
      <c r="H72" s="85">
        <f t="shared" ref="H72:H77" si="8">F72/4</f>
        <v>0.25</v>
      </c>
      <c r="I72" s="10" t="s">
        <v>56</v>
      </c>
      <c r="J72" s="9">
        <v>5</v>
      </c>
      <c r="K72" s="2">
        <v>0.06</v>
      </c>
      <c r="L72" s="92">
        <f t="shared" ref="L72:L93" si="9">K72/11.54*100</f>
        <v>0.51993067590987874</v>
      </c>
      <c r="M72" s="30">
        <f t="shared" si="7"/>
        <v>2.5996533795493937</v>
      </c>
    </row>
    <row r="73" spans="1:18">
      <c r="E73" s="71" t="s">
        <v>224</v>
      </c>
      <c r="F73" s="83">
        <v>1</v>
      </c>
      <c r="G73" s="79" t="s">
        <v>160</v>
      </c>
      <c r="H73" s="85">
        <f t="shared" si="8"/>
        <v>0.25</v>
      </c>
      <c r="I73" s="10" t="s">
        <v>16</v>
      </c>
      <c r="J73" s="9">
        <v>5</v>
      </c>
      <c r="K73" s="2">
        <v>0.5</v>
      </c>
      <c r="L73" s="92">
        <f t="shared" si="9"/>
        <v>4.3327556325823222</v>
      </c>
      <c r="M73" s="30">
        <f t="shared" si="7"/>
        <v>21.663778162911612</v>
      </c>
    </row>
    <row r="74" spans="1:18">
      <c r="E74" s="71" t="s">
        <v>225</v>
      </c>
      <c r="F74" s="83">
        <v>2</v>
      </c>
      <c r="G74" s="79" t="s">
        <v>160</v>
      </c>
      <c r="H74" s="85">
        <f t="shared" si="8"/>
        <v>0.5</v>
      </c>
      <c r="I74" s="10" t="s">
        <v>18</v>
      </c>
      <c r="J74" s="9">
        <v>5</v>
      </c>
      <c r="K74" s="2">
        <v>0.06</v>
      </c>
      <c r="L74" s="92">
        <f t="shared" si="9"/>
        <v>0.51993067590987874</v>
      </c>
      <c r="M74" s="30">
        <f t="shared" si="7"/>
        <v>2.5996533795493937</v>
      </c>
    </row>
    <row r="75" spans="1:18">
      <c r="E75" s="71" t="s">
        <v>226</v>
      </c>
      <c r="F75" s="83">
        <v>20</v>
      </c>
      <c r="G75" s="29" t="s">
        <v>194</v>
      </c>
      <c r="H75" s="85">
        <f t="shared" si="8"/>
        <v>5</v>
      </c>
      <c r="I75" s="10" t="s">
        <v>228</v>
      </c>
      <c r="J75" s="9">
        <v>4</v>
      </c>
      <c r="K75" s="2">
        <v>5</v>
      </c>
      <c r="L75" s="92">
        <f t="shared" si="9"/>
        <v>43.327556325823224</v>
      </c>
      <c r="M75" s="30">
        <f t="shared" si="7"/>
        <v>173.3102253032929</v>
      </c>
    </row>
    <row r="76" spans="1:18">
      <c r="E76" s="71" t="s">
        <v>199</v>
      </c>
      <c r="F76" s="83">
        <v>4</v>
      </c>
      <c r="G76" s="82" t="s">
        <v>163</v>
      </c>
      <c r="H76" s="85">
        <f t="shared" si="8"/>
        <v>1</v>
      </c>
      <c r="I76" s="10" t="s">
        <v>135</v>
      </c>
      <c r="J76" s="9">
        <v>2</v>
      </c>
      <c r="K76" s="2">
        <v>0.1</v>
      </c>
      <c r="L76" s="92">
        <f t="shared" si="9"/>
        <v>0.8665511265164646</v>
      </c>
      <c r="M76" s="30">
        <f t="shared" si="7"/>
        <v>1.7331022530329292</v>
      </c>
    </row>
    <row r="77" spans="1:18">
      <c r="E77" s="71" t="s">
        <v>227</v>
      </c>
      <c r="F77" s="83">
        <v>4</v>
      </c>
      <c r="G77" s="82" t="s">
        <v>163</v>
      </c>
      <c r="H77" s="85">
        <f t="shared" si="8"/>
        <v>1</v>
      </c>
      <c r="I77" s="10"/>
      <c r="J77" s="9"/>
      <c r="K77" s="2">
        <v>0</v>
      </c>
      <c r="L77" s="92">
        <f t="shared" si="9"/>
        <v>0</v>
      </c>
      <c r="M77" s="30">
        <f t="shared" si="7"/>
        <v>0</v>
      </c>
    </row>
    <row r="78" spans="1:18">
      <c r="C78" s="71" t="s">
        <v>1324</v>
      </c>
      <c r="D78" s="6" t="s">
        <v>150</v>
      </c>
      <c r="E78" s="71" t="s">
        <v>229</v>
      </c>
      <c r="F78" s="83">
        <v>3</v>
      </c>
      <c r="G78" s="82" t="s">
        <v>162</v>
      </c>
      <c r="H78" s="85">
        <f>F78/8</f>
        <v>0.375</v>
      </c>
      <c r="I78" s="10" t="s">
        <v>23</v>
      </c>
      <c r="J78" s="9">
        <v>5</v>
      </c>
      <c r="K78" s="2">
        <v>0.38</v>
      </c>
      <c r="L78" s="92">
        <f t="shared" si="9"/>
        <v>3.2928942807625647</v>
      </c>
      <c r="M78" s="30">
        <f t="shared" si="7"/>
        <v>16.464471403812823</v>
      </c>
    </row>
    <row r="79" spans="1:18">
      <c r="E79" s="138" t="s">
        <v>230</v>
      </c>
      <c r="F79" s="83">
        <v>0.25</v>
      </c>
      <c r="G79" s="82" t="s">
        <v>162</v>
      </c>
      <c r="H79" s="85">
        <f t="shared" ref="H79:H86" si="10">F79/8</f>
        <v>3.125E-2</v>
      </c>
      <c r="K79" s="2">
        <v>0</v>
      </c>
      <c r="L79" s="92">
        <f t="shared" si="9"/>
        <v>0</v>
      </c>
      <c r="M79" s="30">
        <f t="shared" si="7"/>
        <v>0</v>
      </c>
    </row>
    <row r="80" spans="1:18">
      <c r="E80" s="138" t="s">
        <v>205</v>
      </c>
      <c r="F80" s="83">
        <v>3</v>
      </c>
      <c r="G80" s="79" t="s">
        <v>160</v>
      </c>
      <c r="H80" s="85">
        <f t="shared" si="10"/>
        <v>0.375</v>
      </c>
      <c r="K80" s="2">
        <v>0</v>
      </c>
      <c r="L80" s="92">
        <f t="shared" si="9"/>
        <v>0</v>
      </c>
      <c r="M80" s="30">
        <f t="shared" si="7"/>
        <v>0</v>
      </c>
      <c r="R80" s="91">
        <v>1.425</v>
      </c>
    </row>
    <row r="81" spans="1:20">
      <c r="E81" s="71" t="s">
        <v>169</v>
      </c>
      <c r="F81" s="83">
        <v>1</v>
      </c>
      <c r="G81" s="79" t="s">
        <v>160</v>
      </c>
      <c r="H81" s="85">
        <f t="shared" si="10"/>
        <v>0.125</v>
      </c>
      <c r="K81" s="2">
        <v>0</v>
      </c>
      <c r="L81" s="92">
        <f t="shared" si="9"/>
        <v>0</v>
      </c>
      <c r="M81" s="30">
        <f t="shared" si="7"/>
        <v>0</v>
      </c>
      <c r="R81" s="91">
        <v>1.95</v>
      </c>
    </row>
    <row r="82" spans="1:20">
      <c r="E82" s="71" t="s">
        <v>231</v>
      </c>
      <c r="F82" s="83">
        <v>8</v>
      </c>
      <c r="G82" s="82" t="s">
        <v>162</v>
      </c>
      <c r="H82" s="85">
        <f t="shared" si="10"/>
        <v>1</v>
      </c>
      <c r="I82" s="10" t="s">
        <v>56</v>
      </c>
      <c r="J82" s="9">
        <v>5</v>
      </c>
      <c r="K82" s="2">
        <v>1</v>
      </c>
      <c r="L82" s="92">
        <f t="shared" si="9"/>
        <v>8.6655112651646444</v>
      </c>
      <c r="M82" s="30">
        <f t="shared" si="7"/>
        <v>43.327556325823224</v>
      </c>
      <c r="T82" s="6" t="s">
        <v>723</v>
      </c>
    </row>
    <row r="83" spans="1:20">
      <c r="E83" s="71" t="s">
        <v>232</v>
      </c>
      <c r="F83" s="83">
        <v>0.25</v>
      </c>
      <c r="G83" s="82" t="s">
        <v>162</v>
      </c>
      <c r="H83" s="85">
        <f t="shared" si="10"/>
        <v>3.125E-2</v>
      </c>
      <c r="I83" s="10" t="s">
        <v>18</v>
      </c>
      <c r="J83" s="9">
        <v>5</v>
      </c>
      <c r="K83" s="2">
        <v>0</v>
      </c>
      <c r="L83" s="92">
        <f t="shared" si="9"/>
        <v>0</v>
      </c>
      <c r="M83" s="30">
        <f t="shared" si="7"/>
        <v>0</v>
      </c>
    </row>
    <row r="84" spans="1:20">
      <c r="E84" s="71" t="s">
        <v>212</v>
      </c>
      <c r="F84" s="83">
        <v>0.25</v>
      </c>
      <c r="G84" s="82" t="s">
        <v>162</v>
      </c>
      <c r="H84" s="85">
        <f t="shared" si="10"/>
        <v>3.125E-2</v>
      </c>
      <c r="I84" s="10" t="s">
        <v>56</v>
      </c>
      <c r="J84" s="9">
        <v>5</v>
      </c>
      <c r="K84" s="2">
        <v>0.03</v>
      </c>
      <c r="L84" s="92">
        <f t="shared" si="9"/>
        <v>0.25996533795493937</v>
      </c>
      <c r="M84" s="30">
        <f t="shared" si="7"/>
        <v>1.2998266897746968</v>
      </c>
    </row>
    <row r="85" spans="1:20">
      <c r="E85" s="71" t="s">
        <v>233</v>
      </c>
      <c r="F85" s="83">
        <v>3</v>
      </c>
      <c r="G85" s="79" t="s">
        <v>160</v>
      </c>
      <c r="H85" s="85">
        <f t="shared" si="10"/>
        <v>0.375</v>
      </c>
      <c r="I85" s="10" t="s">
        <v>191</v>
      </c>
      <c r="J85" s="9">
        <v>2</v>
      </c>
      <c r="K85" s="2">
        <v>1</v>
      </c>
      <c r="L85" s="92">
        <f t="shared" si="9"/>
        <v>8.6655112651646444</v>
      </c>
      <c r="M85" s="30">
        <f t="shared" si="7"/>
        <v>17.331022530329289</v>
      </c>
    </row>
    <row r="86" spans="1:20">
      <c r="E86" s="71" t="s">
        <v>234</v>
      </c>
      <c r="F86" s="83">
        <v>0.25</v>
      </c>
      <c r="G86" s="82" t="s">
        <v>162</v>
      </c>
      <c r="H86" s="85">
        <f t="shared" si="10"/>
        <v>3.125E-2</v>
      </c>
      <c r="I86" s="10" t="s">
        <v>272</v>
      </c>
      <c r="J86" s="9">
        <v>2</v>
      </c>
      <c r="K86" s="2">
        <v>0.24</v>
      </c>
      <c r="L86" s="92">
        <f t="shared" si="9"/>
        <v>2.0797227036395149</v>
      </c>
      <c r="M86" s="30">
        <f t="shared" si="7"/>
        <v>4.1594454072790299</v>
      </c>
    </row>
    <row r="87" spans="1:20">
      <c r="C87" s="71" t="s">
        <v>1325</v>
      </c>
      <c r="D87" s="6" t="s">
        <v>150</v>
      </c>
      <c r="E87" s="138" t="s">
        <v>205</v>
      </c>
      <c r="F87" s="83">
        <v>0.25</v>
      </c>
      <c r="G87" s="82" t="s">
        <v>162</v>
      </c>
      <c r="H87" s="85">
        <f>F87/2</f>
        <v>0.125</v>
      </c>
      <c r="K87" s="2">
        <v>0</v>
      </c>
      <c r="L87" s="92">
        <f t="shared" si="9"/>
        <v>0</v>
      </c>
      <c r="M87" s="30">
        <f t="shared" si="7"/>
        <v>0</v>
      </c>
      <c r="R87" s="91">
        <v>7.6</v>
      </c>
    </row>
    <row r="88" spans="1:20">
      <c r="E88" s="71" t="s">
        <v>181</v>
      </c>
      <c r="F88" s="83">
        <v>2</v>
      </c>
      <c r="G88" s="79" t="s">
        <v>160</v>
      </c>
      <c r="H88" s="85">
        <f t="shared" ref="H88:H93" si="11">F88/2</f>
        <v>1</v>
      </c>
      <c r="I88" s="10" t="s">
        <v>190</v>
      </c>
      <c r="J88" s="9">
        <v>2</v>
      </c>
      <c r="K88" s="2">
        <v>1</v>
      </c>
      <c r="L88" s="92">
        <f t="shared" si="9"/>
        <v>8.6655112651646444</v>
      </c>
      <c r="M88" s="30">
        <f t="shared" si="7"/>
        <v>17.331022530329289</v>
      </c>
    </row>
    <row r="89" spans="1:20">
      <c r="E89" s="138" t="s">
        <v>235</v>
      </c>
      <c r="F89" s="83">
        <v>1</v>
      </c>
      <c r="G89" s="29" t="s">
        <v>161</v>
      </c>
      <c r="H89" s="85">
        <f t="shared" si="11"/>
        <v>0.5</v>
      </c>
      <c r="I89" s="10" t="s">
        <v>190</v>
      </c>
      <c r="J89" s="9">
        <v>2</v>
      </c>
      <c r="K89" s="2">
        <v>0.33</v>
      </c>
      <c r="L89" s="92">
        <f t="shared" si="9"/>
        <v>2.8596187175043331</v>
      </c>
      <c r="M89" s="30">
        <f t="shared" si="7"/>
        <v>5.7192374350086661</v>
      </c>
    </row>
    <row r="90" spans="1:20">
      <c r="E90" s="71" t="s">
        <v>236</v>
      </c>
      <c r="F90" s="83">
        <v>0.5</v>
      </c>
      <c r="G90" s="82" t="s">
        <v>162</v>
      </c>
      <c r="H90" s="85">
        <f t="shared" si="11"/>
        <v>0.25</v>
      </c>
      <c r="I90" s="10" t="s">
        <v>18</v>
      </c>
      <c r="J90" s="9">
        <v>5</v>
      </c>
      <c r="K90" s="2">
        <v>0.2</v>
      </c>
      <c r="L90" s="92">
        <f t="shared" si="9"/>
        <v>1.7331022530329292</v>
      </c>
      <c r="M90" s="30">
        <f t="shared" si="7"/>
        <v>8.6655112651646462</v>
      </c>
    </row>
    <row r="91" spans="1:20">
      <c r="E91" s="71" t="s">
        <v>237</v>
      </c>
      <c r="F91" s="83">
        <v>0.5</v>
      </c>
      <c r="G91" s="82" t="s">
        <v>162</v>
      </c>
      <c r="H91" s="85">
        <f t="shared" si="11"/>
        <v>0.25</v>
      </c>
      <c r="I91" s="10" t="s">
        <v>18</v>
      </c>
      <c r="J91" s="9">
        <v>5</v>
      </c>
      <c r="K91" s="2">
        <v>0.33</v>
      </c>
      <c r="L91" s="92">
        <f t="shared" si="9"/>
        <v>2.8596187175043331</v>
      </c>
      <c r="M91" s="30">
        <f t="shared" si="7"/>
        <v>14.298093587521665</v>
      </c>
    </row>
    <row r="92" spans="1:20">
      <c r="E92" s="108" t="s">
        <v>239</v>
      </c>
      <c r="F92" s="83">
        <v>0.5</v>
      </c>
      <c r="G92" s="82" t="s">
        <v>162</v>
      </c>
      <c r="H92" s="85">
        <f t="shared" si="11"/>
        <v>0.25</v>
      </c>
      <c r="I92" s="10" t="s">
        <v>18</v>
      </c>
      <c r="J92" s="9">
        <v>5</v>
      </c>
      <c r="K92" s="2">
        <v>0.25</v>
      </c>
      <c r="L92" s="92">
        <f t="shared" si="9"/>
        <v>2.1663778162911611</v>
      </c>
      <c r="M92" s="30">
        <f t="shared" si="7"/>
        <v>10.831889081455806</v>
      </c>
      <c r="T92" s="6" t="s">
        <v>724</v>
      </c>
    </row>
    <row r="93" spans="1:20">
      <c r="E93" s="71" t="s">
        <v>238</v>
      </c>
      <c r="F93" s="83">
        <v>2</v>
      </c>
      <c r="G93" s="82" t="s">
        <v>163</v>
      </c>
      <c r="H93" s="85">
        <f t="shared" si="11"/>
        <v>1</v>
      </c>
      <c r="I93" s="10" t="s">
        <v>190</v>
      </c>
      <c r="J93" s="9">
        <v>2</v>
      </c>
      <c r="K93" s="2">
        <v>1</v>
      </c>
      <c r="L93" s="92">
        <f t="shared" si="9"/>
        <v>8.6655112651646444</v>
      </c>
      <c r="M93" s="30">
        <f t="shared" si="7"/>
        <v>17.331022530329289</v>
      </c>
    </row>
    <row r="94" spans="1:20" ht="17.25" thickBot="1">
      <c r="A94" s="93"/>
      <c r="B94" s="93"/>
      <c r="C94" s="72"/>
      <c r="D94" s="93"/>
      <c r="E94" s="72"/>
      <c r="F94" s="87"/>
      <c r="G94" s="37"/>
      <c r="H94" s="86"/>
      <c r="I94" s="93"/>
      <c r="J94" s="93"/>
      <c r="K94" s="97">
        <f>SUM(K71:K93)</f>
        <v>11.54</v>
      </c>
      <c r="L94" s="94">
        <f>SUM(L71:L93)</f>
        <v>99.999999999999986</v>
      </c>
      <c r="M94" s="93"/>
      <c r="N94" s="94">
        <f>SUM(M71:M93)</f>
        <v>361.26516464471399</v>
      </c>
      <c r="O94" s="93"/>
      <c r="P94" s="37" t="s">
        <v>240</v>
      </c>
      <c r="Q94" s="95"/>
      <c r="R94" s="96"/>
    </row>
    <row r="95" spans="1:20">
      <c r="A95" s="6">
        <v>5</v>
      </c>
      <c r="B95" s="7" t="s">
        <v>296</v>
      </c>
      <c r="C95" s="71" t="s">
        <v>1326</v>
      </c>
      <c r="D95" s="6" t="s">
        <v>150</v>
      </c>
      <c r="E95" s="71" t="s">
        <v>241</v>
      </c>
      <c r="F95" s="83">
        <v>3</v>
      </c>
      <c r="G95" s="82" t="s">
        <v>162</v>
      </c>
      <c r="H95" s="85">
        <f>F95/6</f>
        <v>0.5</v>
      </c>
      <c r="I95" s="10" t="s">
        <v>15</v>
      </c>
      <c r="J95" s="9">
        <v>2</v>
      </c>
      <c r="K95" s="2">
        <v>2</v>
      </c>
      <c r="L95" s="92">
        <f>K95/9.188*100</f>
        <v>21.767522855898996</v>
      </c>
      <c r="M95" s="30">
        <f t="shared" si="7"/>
        <v>43.535045711797991</v>
      </c>
    </row>
    <row r="96" spans="1:20">
      <c r="E96" s="71" t="s">
        <v>169</v>
      </c>
      <c r="F96" s="83">
        <v>2</v>
      </c>
      <c r="G96" s="79" t="s">
        <v>160</v>
      </c>
      <c r="H96" s="85">
        <f t="shared" ref="H96:H109" si="12">F96/6</f>
        <v>0.33333333333333331</v>
      </c>
      <c r="K96" s="2">
        <v>0</v>
      </c>
      <c r="L96" s="92">
        <f t="shared" ref="L96:L116" si="13">K96/9.188*100</f>
        <v>0</v>
      </c>
      <c r="M96" s="30">
        <f t="shared" si="7"/>
        <v>0</v>
      </c>
      <c r="R96" s="91">
        <v>4.95</v>
      </c>
    </row>
    <row r="97" spans="3:20">
      <c r="E97" s="71" t="s">
        <v>207</v>
      </c>
      <c r="F97" s="83">
        <v>4</v>
      </c>
      <c r="G97" s="82" t="s">
        <v>163</v>
      </c>
      <c r="H97" s="85">
        <f t="shared" si="12"/>
        <v>0.66666666666666663</v>
      </c>
      <c r="I97" s="10" t="s">
        <v>16</v>
      </c>
      <c r="J97" s="9">
        <v>5</v>
      </c>
      <c r="K97" s="2">
        <v>0.67</v>
      </c>
      <c r="L97" s="92">
        <f t="shared" si="13"/>
        <v>7.2921201567261642</v>
      </c>
      <c r="M97" s="30">
        <f t="shared" si="7"/>
        <v>36.460600783630824</v>
      </c>
    </row>
    <row r="98" spans="3:20">
      <c r="E98" s="108" t="s">
        <v>242</v>
      </c>
      <c r="F98" s="83">
        <v>9.5</v>
      </c>
      <c r="G98" s="29" t="s">
        <v>194</v>
      </c>
      <c r="H98" s="85">
        <f t="shared" si="12"/>
        <v>1.5833333333333333</v>
      </c>
      <c r="I98" s="10" t="s">
        <v>20</v>
      </c>
      <c r="J98" s="9">
        <v>4</v>
      </c>
      <c r="K98" s="2">
        <v>0.36</v>
      </c>
      <c r="L98" s="92">
        <f t="shared" si="13"/>
        <v>3.918154114061819</v>
      </c>
      <c r="M98" s="30">
        <f t="shared" si="7"/>
        <v>15.672616456247276</v>
      </c>
      <c r="T98" s="6" t="s">
        <v>719</v>
      </c>
    </row>
    <row r="99" spans="3:20">
      <c r="E99" s="71" t="s">
        <v>243</v>
      </c>
      <c r="F99" s="83">
        <v>0.5</v>
      </c>
      <c r="G99" s="82" t="s">
        <v>162</v>
      </c>
      <c r="H99" s="85">
        <f t="shared" si="12"/>
        <v>8.3333333333333329E-2</v>
      </c>
      <c r="K99" s="2">
        <v>0</v>
      </c>
      <c r="L99" s="92">
        <f t="shared" si="13"/>
        <v>0</v>
      </c>
      <c r="M99" s="30">
        <f t="shared" si="7"/>
        <v>0</v>
      </c>
    </row>
    <row r="100" spans="3:20">
      <c r="E100" s="71" t="s">
        <v>1339</v>
      </c>
      <c r="F100" s="83">
        <v>0.5</v>
      </c>
      <c r="G100" s="82" t="s">
        <v>162</v>
      </c>
      <c r="H100" s="85">
        <f t="shared" si="12"/>
        <v>8.3333333333333329E-2</v>
      </c>
      <c r="I100" s="10" t="s">
        <v>18</v>
      </c>
      <c r="J100" s="9">
        <v>5</v>
      </c>
      <c r="K100" s="2">
        <v>0.64</v>
      </c>
      <c r="L100" s="92">
        <f t="shared" si="13"/>
        <v>6.9656073138876797</v>
      </c>
      <c r="M100" s="30">
        <f t="shared" si="7"/>
        <v>34.828036569438396</v>
      </c>
    </row>
    <row r="101" spans="3:20">
      <c r="E101" s="71" t="s">
        <v>244</v>
      </c>
      <c r="F101" s="83">
        <v>4</v>
      </c>
      <c r="G101" s="82" t="s">
        <v>162</v>
      </c>
      <c r="H101" s="85">
        <f t="shared" si="12"/>
        <v>0.66666666666666663</v>
      </c>
      <c r="I101" s="10" t="s">
        <v>56</v>
      </c>
      <c r="J101" s="9">
        <v>5</v>
      </c>
      <c r="K101" s="2">
        <v>0.67</v>
      </c>
      <c r="L101" s="92">
        <f t="shared" si="13"/>
        <v>7.2921201567261642</v>
      </c>
      <c r="M101" s="30">
        <f t="shared" si="7"/>
        <v>36.460600783630824</v>
      </c>
    </row>
    <row r="102" spans="3:20">
      <c r="E102" s="71" t="s">
        <v>172</v>
      </c>
      <c r="F102" s="83">
        <v>2</v>
      </c>
      <c r="G102" s="79" t="s">
        <v>160</v>
      </c>
      <c r="H102" s="85">
        <f t="shared" si="12"/>
        <v>0.33333333333333331</v>
      </c>
      <c r="I102" s="10" t="s">
        <v>273</v>
      </c>
      <c r="J102" s="9">
        <v>2</v>
      </c>
      <c r="K102" s="2">
        <v>0.16</v>
      </c>
      <c r="L102" s="92">
        <f t="shared" si="13"/>
        <v>1.7414018284719199</v>
      </c>
      <c r="M102" s="30">
        <f t="shared" si="7"/>
        <v>3.4828036569438399</v>
      </c>
    </row>
    <row r="103" spans="3:20">
      <c r="C103" s="71" t="s">
        <v>1327</v>
      </c>
      <c r="D103" s="6" t="s">
        <v>150</v>
      </c>
      <c r="E103" s="71" t="s">
        <v>169</v>
      </c>
      <c r="F103" s="83">
        <v>2</v>
      </c>
      <c r="G103" s="29" t="s">
        <v>161</v>
      </c>
      <c r="H103" s="85">
        <f t="shared" si="12"/>
        <v>0.33333333333333331</v>
      </c>
      <c r="K103" s="2">
        <v>0</v>
      </c>
      <c r="L103" s="92">
        <f t="shared" si="13"/>
        <v>0</v>
      </c>
      <c r="M103" s="30">
        <f t="shared" si="7"/>
        <v>0</v>
      </c>
      <c r="R103" s="91">
        <v>1.65</v>
      </c>
    </row>
    <row r="104" spans="3:20">
      <c r="E104" s="71" t="s">
        <v>207</v>
      </c>
      <c r="F104" s="83">
        <v>4</v>
      </c>
      <c r="G104" s="82" t="s">
        <v>163</v>
      </c>
      <c r="H104" s="85">
        <f t="shared" si="12"/>
        <v>0.66666666666666663</v>
      </c>
      <c r="I104" s="10" t="s">
        <v>16</v>
      </c>
      <c r="J104" s="9">
        <v>5</v>
      </c>
      <c r="K104" s="2">
        <v>0.67</v>
      </c>
      <c r="L104" s="92">
        <f t="shared" si="13"/>
        <v>7.2921201567261642</v>
      </c>
      <c r="M104" s="30">
        <f t="shared" si="7"/>
        <v>36.460600783630824</v>
      </c>
    </row>
    <row r="105" spans="3:20">
      <c r="E105" s="71" t="s">
        <v>245</v>
      </c>
      <c r="F105" s="83">
        <v>1</v>
      </c>
      <c r="G105" s="29" t="s">
        <v>159</v>
      </c>
      <c r="H105" s="85">
        <f t="shared" si="12"/>
        <v>0.16666666666666666</v>
      </c>
      <c r="I105" s="10" t="s">
        <v>56</v>
      </c>
      <c r="J105" s="9">
        <v>5</v>
      </c>
      <c r="K105" s="2">
        <v>0.88</v>
      </c>
      <c r="L105" s="92">
        <f t="shared" si="13"/>
        <v>9.57771005659556</v>
      </c>
      <c r="M105" s="30">
        <f t="shared" si="7"/>
        <v>47.888550282977803</v>
      </c>
    </row>
    <row r="106" spans="3:20">
      <c r="E106" s="108" t="s">
        <v>246</v>
      </c>
      <c r="F106" s="83">
        <v>0.5</v>
      </c>
      <c r="G106" s="82" t="s">
        <v>162</v>
      </c>
      <c r="H106" s="85">
        <f t="shared" si="12"/>
        <v>8.3333333333333329E-2</v>
      </c>
      <c r="I106" s="10" t="s">
        <v>23</v>
      </c>
      <c r="J106" s="9">
        <v>5</v>
      </c>
      <c r="K106" s="2">
        <v>0.16</v>
      </c>
      <c r="L106" s="92">
        <f t="shared" si="13"/>
        <v>1.7414018284719199</v>
      </c>
      <c r="M106" s="30">
        <f t="shared" si="7"/>
        <v>8.707009142359599</v>
      </c>
      <c r="T106" s="6" t="s">
        <v>723</v>
      </c>
    </row>
    <row r="107" spans="3:20">
      <c r="E107" s="71" t="s">
        <v>247</v>
      </c>
      <c r="F107" s="83">
        <v>1</v>
      </c>
      <c r="G107" s="82" t="s">
        <v>162</v>
      </c>
      <c r="H107" s="85">
        <f t="shared" si="12"/>
        <v>0.16666666666666666</v>
      </c>
      <c r="I107" s="10" t="s">
        <v>26</v>
      </c>
      <c r="J107" s="9">
        <v>4</v>
      </c>
      <c r="K107" s="2">
        <v>0.17</v>
      </c>
      <c r="L107" s="92">
        <f t="shared" si="13"/>
        <v>1.8502394427514148</v>
      </c>
      <c r="M107" s="30">
        <f t="shared" si="7"/>
        <v>7.4009577710056593</v>
      </c>
    </row>
    <row r="108" spans="3:20">
      <c r="E108" s="71" t="s">
        <v>225</v>
      </c>
      <c r="F108" s="83">
        <v>1</v>
      </c>
      <c r="G108" s="79" t="s">
        <v>160</v>
      </c>
      <c r="H108" s="85">
        <f t="shared" si="12"/>
        <v>0.16666666666666666</v>
      </c>
      <c r="I108" s="10" t="s">
        <v>18</v>
      </c>
      <c r="J108" s="9">
        <v>5</v>
      </c>
      <c r="K108" s="2">
        <v>0.02</v>
      </c>
      <c r="L108" s="92">
        <f t="shared" si="13"/>
        <v>0.21767522855898999</v>
      </c>
      <c r="M108" s="30">
        <f t="shared" si="7"/>
        <v>1.0883761427949499</v>
      </c>
    </row>
    <row r="109" spans="3:20">
      <c r="E109" s="71" t="s">
        <v>195</v>
      </c>
      <c r="F109" s="83">
        <v>0.25</v>
      </c>
      <c r="G109" s="29" t="s">
        <v>161</v>
      </c>
      <c r="H109" s="85">
        <f t="shared" si="12"/>
        <v>4.1666666666666664E-2</v>
      </c>
      <c r="K109" s="2">
        <v>0</v>
      </c>
      <c r="L109" s="92">
        <f t="shared" si="13"/>
        <v>0</v>
      </c>
      <c r="M109" s="30">
        <f t="shared" si="7"/>
        <v>0</v>
      </c>
      <c r="Q109" s="90">
        <v>0.12</v>
      </c>
    </row>
    <row r="110" spans="3:20">
      <c r="C110" s="71" t="s">
        <v>1328</v>
      </c>
      <c r="D110" s="6" t="s">
        <v>150</v>
      </c>
      <c r="E110" s="71" t="s">
        <v>248</v>
      </c>
      <c r="F110" s="83">
        <v>1</v>
      </c>
      <c r="G110" s="82" t="s">
        <v>162</v>
      </c>
      <c r="H110" s="85">
        <f>F110/4</f>
        <v>0.25</v>
      </c>
      <c r="I110" s="10" t="s">
        <v>18</v>
      </c>
      <c r="J110" s="9">
        <v>5</v>
      </c>
      <c r="K110" s="2">
        <v>0.5</v>
      </c>
      <c r="L110" s="92">
        <f t="shared" si="13"/>
        <v>5.4418807139747489</v>
      </c>
      <c r="M110" s="30">
        <f t="shared" si="7"/>
        <v>27.209403569873743</v>
      </c>
    </row>
    <row r="111" spans="3:20">
      <c r="E111" s="71" t="s">
        <v>218</v>
      </c>
      <c r="F111" s="83">
        <v>0.25</v>
      </c>
      <c r="G111" s="82" t="s">
        <v>162</v>
      </c>
      <c r="H111" s="85">
        <f t="shared" ref="H111:H116" si="14">F111/4</f>
        <v>6.25E-2</v>
      </c>
      <c r="I111" s="10" t="s">
        <v>18</v>
      </c>
      <c r="J111" s="9">
        <v>5</v>
      </c>
      <c r="K111" s="2">
        <v>0.12</v>
      </c>
      <c r="L111" s="92">
        <f t="shared" si="13"/>
        <v>1.3060513713539399</v>
      </c>
      <c r="M111" s="30">
        <f t="shared" si="7"/>
        <v>6.5302568567696992</v>
      </c>
    </row>
    <row r="112" spans="3:20">
      <c r="E112" s="71" t="s">
        <v>214</v>
      </c>
      <c r="F112" s="83">
        <v>1</v>
      </c>
      <c r="G112" s="29" t="s">
        <v>161</v>
      </c>
      <c r="H112" s="85">
        <f t="shared" si="14"/>
        <v>0.25</v>
      </c>
      <c r="K112" s="2">
        <v>0</v>
      </c>
      <c r="L112" s="92">
        <f t="shared" si="13"/>
        <v>0</v>
      </c>
      <c r="M112" s="30">
        <f t="shared" si="7"/>
        <v>0</v>
      </c>
    </row>
    <row r="113" spans="1:20">
      <c r="E113" s="71" t="s">
        <v>249</v>
      </c>
      <c r="F113" s="83">
        <v>1</v>
      </c>
      <c r="G113" s="29" t="s">
        <v>161</v>
      </c>
      <c r="H113" s="85">
        <f t="shared" si="14"/>
        <v>0.25</v>
      </c>
      <c r="K113" s="2">
        <v>0</v>
      </c>
      <c r="L113" s="92">
        <f t="shared" si="13"/>
        <v>0</v>
      </c>
      <c r="M113" s="30">
        <f t="shared" si="7"/>
        <v>0</v>
      </c>
    </row>
    <row r="114" spans="1:20">
      <c r="E114" s="71" t="s">
        <v>250</v>
      </c>
      <c r="F114" s="83">
        <v>4</v>
      </c>
      <c r="G114" s="82" t="s">
        <v>163</v>
      </c>
      <c r="H114" s="85">
        <f t="shared" si="14"/>
        <v>1</v>
      </c>
      <c r="I114" s="10" t="s">
        <v>18</v>
      </c>
      <c r="J114" s="9">
        <v>5</v>
      </c>
      <c r="K114" s="2">
        <v>2</v>
      </c>
      <c r="L114" s="92">
        <f t="shared" si="13"/>
        <v>21.767522855898996</v>
      </c>
      <c r="M114" s="30">
        <f t="shared" si="7"/>
        <v>108.83761427949497</v>
      </c>
    </row>
    <row r="115" spans="1:20">
      <c r="E115" s="108" t="s">
        <v>251</v>
      </c>
      <c r="F115" s="83">
        <v>0.5</v>
      </c>
      <c r="G115" s="82" t="s">
        <v>162</v>
      </c>
      <c r="H115" s="85">
        <f t="shared" si="14"/>
        <v>0.125</v>
      </c>
      <c r="I115" s="10" t="s">
        <v>18</v>
      </c>
      <c r="J115" s="9">
        <v>5</v>
      </c>
      <c r="K115" s="2">
        <v>0.13</v>
      </c>
      <c r="L115" s="92">
        <f t="shared" si="13"/>
        <v>1.4148889856334348</v>
      </c>
      <c r="M115" s="30">
        <f t="shared" si="7"/>
        <v>7.074444928167174</v>
      </c>
    </row>
    <row r="116" spans="1:20">
      <c r="E116" s="71" t="s">
        <v>252</v>
      </c>
      <c r="F116" s="83">
        <v>2</v>
      </c>
      <c r="G116" s="79" t="s">
        <v>160</v>
      </c>
      <c r="H116" s="85">
        <f t="shared" si="14"/>
        <v>0.5</v>
      </c>
      <c r="I116" s="10" t="s">
        <v>18</v>
      </c>
      <c r="J116" s="9">
        <v>5</v>
      </c>
      <c r="K116" s="2">
        <v>3.7999999999999999E-2</v>
      </c>
      <c r="L116" s="92">
        <f t="shared" si="13"/>
        <v>0.41358293426208093</v>
      </c>
      <c r="M116" s="30">
        <f t="shared" si="7"/>
        <v>2.0679146713104046</v>
      </c>
      <c r="T116" s="6" t="s">
        <v>724</v>
      </c>
    </row>
    <row r="117" spans="1:20" ht="17.25" thickBot="1">
      <c r="A117" s="93"/>
      <c r="B117" s="93"/>
      <c r="C117" s="72"/>
      <c r="D117" s="93"/>
      <c r="E117" s="72"/>
      <c r="F117" s="87"/>
      <c r="G117" s="37"/>
      <c r="H117" s="86"/>
      <c r="I117" s="93"/>
      <c r="J117" s="93"/>
      <c r="K117" s="97">
        <f>SUM(K95:K116)</f>
        <v>9.1880000000000006</v>
      </c>
      <c r="L117" s="98">
        <f>SUM(L95:L116)</f>
        <v>100</v>
      </c>
      <c r="M117" s="93"/>
      <c r="N117" s="94">
        <f>SUM(M95:M116)</f>
        <v>423.70483239007405</v>
      </c>
      <c r="O117" s="93"/>
      <c r="P117" s="93" t="s">
        <v>192</v>
      </c>
      <c r="Q117" s="95">
        <f>SUM(Q95:Q116)</f>
        <v>0.12</v>
      </c>
      <c r="R117" s="96">
        <f>SUM(R95:R116)</f>
        <v>6.6</v>
      </c>
    </row>
    <row r="118" spans="1:20">
      <c r="A118" s="6">
        <v>6</v>
      </c>
      <c r="B118" s="7" t="s">
        <v>297</v>
      </c>
      <c r="C118" s="71" t="s">
        <v>1329</v>
      </c>
      <c r="D118" s="6" t="s">
        <v>150</v>
      </c>
      <c r="E118" s="73" t="s">
        <v>169</v>
      </c>
      <c r="F118" s="83">
        <v>3</v>
      </c>
      <c r="G118" s="79" t="s">
        <v>160</v>
      </c>
      <c r="H118" s="85">
        <f>F118/6</f>
        <v>0.5</v>
      </c>
      <c r="K118" s="2">
        <v>0</v>
      </c>
      <c r="L118" s="92">
        <f>K118/4.407*100</f>
        <v>0</v>
      </c>
      <c r="M118" s="30">
        <f t="shared" si="7"/>
        <v>0</v>
      </c>
      <c r="R118" s="91">
        <v>2.5499999999999998</v>
      </c>
    </row>
    <row r="119" spans="1:20">
      <c r="E119" s="71" t="s">
        <v>197</v>
      </c>
      <c r="F119" s="83">
        <v>8</v>
      </c>
      <c r="G119" s="82" t="s">
        <v>163</v>
      </c>
      <c r="H119" s="85">
        <f t="shared" ref="H119:H132" si="15">F119/6</f>
        <v>1.3333333333333333</v>
      </c>
      <c r="I119" s="10" t="s">
        <v>16</v>
      </c>
      <c r="J119" s="9">
        <v>5</v>
      </c>
      <c r="K119" s="2">
        <v>0.33</v>
      </c>
      <c r="L119" s="92">
        <f t="shared" ref="L119:L132" si="16">K119/4.407*100</f>
        <v>7.4880871341048332</v>
      </c>
      <c r="M119" s="30">
        <f t="shared" si="7"/>
        <v>37.440435670524167</v>
      </c>
    </row>
    <row r="120" spans="1:20">
      <c r="E120" s="71" t="s">
        <v>253</v>
      </c>
      <c r="F120" s="83">
        <v>1</v>
      </c>
      <c r="G120" s="82" t="s">
        <v>163</v>
      </c>
      <c r="H120" s="85">
        <f t="shared" si="15"/>
        <v>0.16666666666666666</v>
      </c>
      <c r="I120" s="10" t="s">
        <v>25</v>
      </c>
      <c r="J120" s="9">
        <v>4</v>
      </c>
      <c r="K120" s="2">
        <v>0.17</v>
      </c>
      <c r="L120" s="92">
        <f t="shared" si="16"/>
        <v>3.857499432720672</v>
      </c>
      <c r="M120" s="30">
        <f t="shared" si="7"/>
        <v>15.429997730882688</v>
      </c>
    </row>
    <row r="121" spans="1:20">
      <c r="E121" s="108" t="s">
        <v>254</v>
      </c>
      <c r="F121" s="83">
        <v>2</v>
      </c>
      <c r="G121" s="82" t="s">
        <v>162</v>
      </c>
      <c r="H121" s="85">
        <f t="shared" si="15"/>
        <v>0.33333333333333331</v>
      </c>
      <c r="I121" s="10" t="s">
        <v>289</v>
      </c>
      <c r="J121" s="9">
        <v>2</v>
      </c>
      <c r="K121" s="2">
        <v>0.66</v>
      </c>
      <c r="L121" s="92">
        <f t="shared" si="16"/>
        <v>14.976174268209666</v>
      </c>
      <c r="M121" s="30">
        <f t="shared" si="7"/>
        <v>29.952348536419333</v>
      </c>
      <c r="T121" s="6" t="s">
        <v>726</v>
      </c>
    </row>
    <row r="122" spans="1:20">
      <c r="E122" s="71" t="s">
        <v>195</v>
      </c>
      <c r="F122" s="83">
        <v>1</v>
      </c>
      <c r="G122" s="29" t="s">
        <v>161</v>
      </c>
      <c r="H122" s="85">
        <f t="shared" si="15"/>
        <v>0.16666666666666666</v>
      </c>
      <c r="K122" s="2">
        <v>0</v>
      </c>
      <c r="L122" s="92">
        <f t="shared" si="16"/>
        <v>0</v>
      </c>
      <c r="M122" s="30">
        <f t="shared" si="7"/>
        <v>0</v>
      </c>
      <c r="Q122" s="90">
        <v>0.51</v>
      </c>
    </row>
    <row r="123" spans="1:20">
      <c r="E123" s="71" t="s">
        <v>255</v>
      </c>
      <c r="F123" s="83">
        <v>1</v>
      </c>
      <c r="G123" s="82" t="s">
        <v>163</v>
      </c>
      <c r="H123" s="85">
        <f t="shared" si="15"/>
        <v>0.16666666666666666</v>
      </c>
      <c r="K123" s="2">
        <v>0</v>
      </c>
      <c r="L123" s="92">
        <f t="shared" si="16"/>
        <v>0</v>
      </c>
      <c r="M123" s="30">
        <f t="shared" si="7"/>
        <v>0</v>
      </c>
    </row>
    <row r="124" spans="1:20">
      <c r="E124" s="71" t="s">
        <v>196</v>
      </c>
      <c r="F124" s="83">
        <v>1</v>
      </c>
      <c r="G124" s="82" t="s">
        <v>163</v>
      </c>
      <c r="H124" s="85">
        <f t="shared" si="15"/>
        <v>0.16666666666666666</v>
      </c>
      <c r="I124" s="10" t="s">
        <v>14</v>
      </c>
      <c r="J124" s="9">
        <v>5</v>
      </c>
      <c r="K124" s="2">
        <v>0.23</v>
      </c>
      <c r="L124" s="92">
        <f t="shared" si="16"/>
        <v>5.2189698207397317</v>
      </c>
      <c r="M124" s="30">
        <f t="shared" si="7"/>
        <v>26.094849103698657</v>
      </c>
    </row>
    <row r="125" spans="1:20">
      <c r="E125" s="71" t="s">
        <v>256</v>
      </c>
      <c r="F125" s="83">
        <v>3</v>
      </c>
      <c r="G125" s="82" t="s">
        <v>163</v>
      </c>
      <c r="H125" s="85">
        <f t="shared" si="15"/>
        <v>0.5</v>
      </c>
      <c r="I125" s="10" t="s">
        <v>26</v>
      </c>
      <c r="J125" s="9">
        <v>4</v>
      </c>
      <c r="K125" s="2">
        <v>1.6</v>
      </c>
      <c r="L125" s="92">
        <f t="shared" si="16"/>
        <v>36.305877013841616</v>
      </c>
      <c r="M125" s="30">
        <f t="shared" si="7"/>
        <v>145.22350805536647</v>
      </c>
    </row>
    <row r="126" spans="1:20">
      <c r="E126" s="71" t="s">
        <v>257</v>
      </c>
      <c r="F126" s="83">
        <v>1</v>
      </c>
      <c r="G126" s="79" t="s">
        <v>160</v>
      </c>
      <c r="H126" s="85">
        <f t="shared" si="15"/>
        <v>0.16666666666666666</v>
      </c>
      <c r="K126" s="2">
        <v>0</v>
      </c>
      <c r="L126" s="92">
        <f t="shared" si="16"/>
        <v>0</v>
      </c>
      <c r="M126" s="30">
        <f t="shared" si="7"/>
        <v>0</v>
      </c>
    </row>
    <row r="127" spans="1:20">
      <c r="E127" s="108" t="s">
        <v>157</v>
      </c>
      <c r="F127" s="83">
        <v>1.5</v>
      </c>
      <c r="G127" s="82" t="s">
        <v>162</v>
      </c>
      <c r="H127" s="85">
        <f t="shared" si="15"/>
        <v>0.25</v>
      </c>
      <c r="I127" s="10" t="s">
        <v>23</v>
      </c>
      <c r="J127" s="9">
        <v>5</v>
      </c>
      <c r="K127" s="2">
        <v>0.5</v>
      </c>
      <c r="L127" s="92">
        <f t="shared" si="16"/>
        <v>11.345586566825505</v>
      </c>
      <c r="M127" s="30">
        <f t="shared" si="7"/>
        <v>56.727932834127522</v>
      </c>
      <c r="T127" s="6" t="s">
        <v>723</v>
      </c>
    </row>
    <row r="128" spans="1:20">
      <c r="C128" s="71" t="s">
        <v>1330</v>
      </c>
      <c r="D128" s="6" t="s">
        <v>150</v>
      </c>
      <c r="E128" s="71" t="s">
        <v>258</v>
      </c>
      <c r="F128" s="83">
        <v>4</v>
      </c>
      <c r="G128" s="82" t="s">
        <v>163</v>
      </c>
      <c r="H128" s="85">
        <f t="shared" si="15"/>
        <v>0.66666666666666663</v>
      </c>
      <c r="I128" s="10" t="s">
        <v>26</v>
      </c>
      <c r="J128" s="9">
        <v>4</v>
      </c>
      <c r="K128" s="2">
        <v>6.7000000000000004E-2</v>
      </c>
      <c r="L128" s="92">
        <f t="shared" si="16"/>
        <v>1.5203085999546178</v>
      </c>
      <c r="M128" s="30">
        <f t="shared" si="7"/>
        <v>6.081234399818471</v>
      </c>
    </row>
    <row r="129" spans="1:20">
      <c r="E129" s="137" t="s">
        <v>222</v>
      </c>
      <c r="F129" s="83">
        <v>0.25</v>
      </c>
      <c r="G129" s="82" t="s">
        <v>162</v>
      </c>
      <c r="H129" s="85">
        <f t="shared" si="15"/>
        <v>4.1666666666666664E-2</v>
      </c>
      <c r="I129" s="10" t="s">
        <v>56</v>
      </c>
      <c r="J129" s="9">
        <v>5</v>
      </c>
      <c r="K129" s="2">
        <v>0.04</v>
      </c>
      <c r="L129" s="92">
        <f t="shared" si="16"/>
        <v>0.90764692534604041</v>
      </c>
      <c r="M129" s="30">
        <f t="shared" si="7"/>
        <v>4.5382346267302021</v>
      </c>
    </row>
    <row r="130" spans="1:20">
      <c r="E130" s="71" t="s">
        <v>169</v>
      </c>
      <c r="F130" s="83">
        <v>2</v>
      </c>
      <c r="G130" s="29" t="s">
        <v>161</v>
      </c>
      <c r="H130" s="85">
        <f t="shared" si="15"/>
        <v>0.33333333333333331</v>
      </c>
      <c r="K130" s="2">
        <v>0</v>
      </c>
      <c r="L130" s="92">
        <f t="shared" si="16"/>
        <v>0</v>
      </c>
      <c r="M130" s="30">
        <f t="shared" ref="M130:M193" si="17">L130*J130</f>
        <v>0</v>
      </c>
      <c r="R130" s="91">
        <v>1.65</v>
      </c>
    </row>
    <row r="131" spans="1:20">
      <c r="E131" s="71" t="s">
        <v>259</v>
      </c>
      <c r="F131" s="83">
        <v>1</v>
      </c>
      <c r="G131" s="82" t="s">
        <v>163</v>
      </c>
      <c r="H131" s="85">
        <f t="shared" si="15"/>
        <v>0.16666666666666666</v>
      </c>
      <c r="I131" s="10" t="s">
        <v>16</v>
      </c>
      <c r="J131" s="9">
        <v>5</v>
      </c>
      <c r="K131" s="2">
        <v>0.17</v>
      </c>
      <c r="L131" s="92">
        <f t="shared" si="16"/>
        <v>3.857499432720672</v>
      </c>
      <c r="M131" s="30">
        <f t="shared" si="17"/>
        <v>19.287497163603359</v>
      </c>
    </row>
    <row r="132" spans="1:20">
      <c r="E132" s="108" t="s">
        <v>260</v>
      </c>
      <c r="F132" s="83">
        <v>0.25</v>
      </c>
      <c r="G132" s="29" t="s">
        <v>159</v>
      </c>
      <c r="H132" s="85">
        <f t="shared" si="15"/>
        <v>4.1666666666666664E-2</v>
      </c>
      <c r="I132" s="10" t="s">
        <v>25</v>
      </c>
      <c r="J132" s="9">
        <v>4</v>
      </c>
      <c r="K132" s="2">
        <v>0.64</v>
      </c>
      <c r="L132" s="92">
        <f t="shared" si="16"/>
        <v>14.522350805536647</v>
      </c>
      <c r="M132" s="30">
        <f t="shared" si="17"/>
        <v>58.089403222146586</v>
      </c>
      <c r="T132" s="6" t="s">
        <v>727</v>
      </c>
    </row>
    <row r="133" spans="1:20" ht="17.25" thickBot="1">
      <c r="A133" s="93"/>
      <c r="B133" s="93"/>
      <c r="C133" s="72"/>
      <c r="D133" s="93"/>
      <c r="E133" s="72"/>
      <c r="F133" s="87"/>
      <c r="G133" s="37"/>
      <c r="H133" s="86"/>
      <c r="I133" s="93"/>
      <c r="J133" s="93"/>
      <c r="K133" s="97">
        <f>SUM(K118:K132)</f>
        <v>4.407</v>
      </c>
      <c r="L133" s="94">
        <f>SUM(L118:L132)</f>
        <v>100</v>
      </c>
      <c r="M133" s="93"/>
      <c r="N133" s="94">
        <f>SUM(M118:M132)</f>
        <v>398.86544134331746</v>
      </c>
      <c r="O133" s="93"/>
      <c r="P133" s="93" t="s">
        <v>240</v>
      </c>
      <c r="Q133" s="95">
        <f>SUM(Q118:Q132)</f>
        <v>0.51</v>
      </c>
      <c r="R133" s="96">
        <f>SUM(R118:R132)</f>
        <v>4.1999999999999993</v>
      </c>
    </row>
    <row r="134" spans="1:20">
      <c r="A134" s="6">
        <v>7</v>
      </c>
      <c r="B134" s="7" t="s">
        <v>298</v>
      </c>
      <c r="C134" s="71" t="s">
        <v>1331</v>
      </c>
      <c r="D134" s="6" t="s">
        <v>150</v>
      </c>
      <c r="E134" s="71" t="s">
        <v>261</v>
      </c>
      <c r="F134" s="83">
        <v>3</v>
      </c>
      <c r="G134" s="82" t="s">
        <v>163</v>
      </c>
      <c r="H134" s="85">
        <f>F134/4</f>
        <v>0.75</v>
      </c>
      <c r="I134" s="10" t="s">
        <v>23</v>
      </c>
      <c r="J134" s="9">
        <v>5</v>
      </c>
      <c r="K134" s="2">
        <v>0.25</v>
      </c>
      <c r="L134" s="92">
        <f>K134/6.39*100</f>
        <v>3.9123630672926448</v>
      </c>
      <c r="M134" s="30">
        <f t="shared" si="17"/>
        <v>19.561815336463223</v>
      </c>
    </row>
    <row r="135" spans="1:20">
      <c r="E135" s="71" t="s">
        <v>262</v>
      </c>
      <c r="F135" s="83">
        <v>0.5</v>
      </c>
      <c r="G135" s="82" t="s">
        <v>162</v>
      </c>
      <c r="H135" s="85">
        <f t="shared" ref="H135:H150" si="18">F135/4</f>
        <v>0.125</v>
      </c>
      <c r="I135" s="10" t="s">
        <v>56</v>
      </c>
      <c r="J135" s="9">
        <v>5</v>
      </c>
      <c r="K135" s="2">
        <v>0.13</v>
      </c>
      <c r="L135" s="92">
        <f t="shared" ref="L135:L151" si="19">K135/6.39*100</f>
        <v>2.0344287949921753</v>
      </c>
      <c r="M135" s="30">
        <f t="shared" si="17"/>
        <v>10.172143974960877</v>
      </c>
    </row>
    <row r="136" spans="1:20">
      <c r="E136" s="71" t="s">
        <v>263</v>
      </c>
      <c r="F136" s="83">
        <v>0.5</v>
      </c>
      <c r="G136" s="82" t="s">
        <v>162</v>
      </c>
      <c r="H136" s="85">
        <f t="shared" si="18"/>
        <v>0.125</v>
      </c>
      <c r="I136" s="10" t="s">
        <v>269</v>
      </c>
      <c r="J136" s="9">
        <v>5</v>
      </c>
      <c r="K136" s="2">
        <v>0.13</v>
      </c>
      <c r="L136" s="92">
        <f t="shared" si="19"/>
        <v>2.0344287949921753</v>
      </c>
      <c r="M136" s="30">
        <f t="shared" si="17"/>
        <v>10.172143974960877</v>
      </c>
    </row>
    <row r="137" spans="1:20">
      <c r="E137" s="71" t="s">
        <v>264</v>
      </c>
      <c r="F137" s="83">
        <v>0.5</v>
      </c>
      <c r="G137" s="82" t="s">
        <v>162</v>
      </c>
      <c r="H137" s="85">
        <f t="shared" si="18"/>
        <v>0.125</v>
      </c>
      <c r="I137" s="10" t="s">
        <v>23</v>
      </c>
      <c r="J137" s="9">
        <v>5</v>
      </c>
      <c r="K137" s="2">
        <v>0.13</v>
      </c>
      <c r="L137" s="92">
        <f t="shared" si="19"/>
        <v>2.0344287949921753</v>
      </c>
      <c r="M137" s="30">
        <f t="shared" si="17"/>
        <v>10.172143974960877</v>
      </c>
    </row>
    <row r="138" spans="1:20">
      <c r="E138" s="71" t="s">
        <v>224</v>
      </c>
      <c r="F138" s="83">
        <v>2</v>
      </c>
      <c r="G138" s="79" t="s">
        <v>160</v>
      </c>
      <c r="H138" s="85">
        <f t="shared" si="18"/>
        <v>0.5</v>
      </c>
      <c r="I138" s="10" t="s">
        <v>16</v>
      </c>
      <c r="J138" s="9">
        <v>5</v>
      </c>
      <c r="K138" s="2">
        <v>0.5</v>
      </c>
      <c r="L138" s="92">
        <f t="shared" si="19"/>
        <v>7.8247261345852896</v>
      </c>
      <c r="M138" s="30">
        <f t="shared" si="17"/>
        <v>39.123630672926446</v>
      </c>
    </row>
    <row r="139" spans="1:20">
      <c r="E139" s="71" t="s">
        <v>169</v>
      </c>
      <c r="F139" s="83">
        <v>2</v>
      </c>
      <c r="G139" s="29" t="s">
        <v>161</v>
      </c>
      <c r="H139" s="85">
        <f t="shared" si="18"/>
        <v>0.5</v>
      </c>
      <c r="K139" s="2">
        <v>0</v>
      </c>
      <c r="L139" s="92">
        <f t="shared" si="19"/>
        <v>0</v>
      </c>
      <c r="M139" s="30">
        <f t="shared" si="17"/>
        <v>0</v>
      </c>
      <c r="R139" s="91">
        <v>2.5</v>
      </c>
    </row>
    <row r="140" spans="1:20">
      <c r="E140" s="71" t="s">
        <v>265</v>
      </c>
      <c r="F140" s="83">
        <v>0.5</v>
      </c>
      <c r="G140" s="29" t="s">
        <v>159</v>
      </c>
      <c r="H140" s="85">
        <f t="shared" si="18"/>
        <v>0.125</v>
      </c>
      <c r="I140" s="10" t="s">
        <v>25</v>
      </c>
      <c r="J140" s="9">
        <v>4</v>
      </c>
      <c r="K140" s="2">
        <v>2</v>
      </c>
      <c r="L140" s="92">
        <f t="shared" si="19"/>
        <v>31.298904538341159</v>
      </c>
      <c r="M140" s="30">
        <f t="shared" si="17"/>
        <v>125.19561815336463</v>
      </c>
    </row>
    <row r="141" spans="1:20">
      <c r="E141" s="71" t="s">
        <v>266</v>
      </c>
      <c r="F141" s="83">
        <v>1</v>
      </c>
      <c r="G141" s="82" t="s">
        <v>163</v>
      </c>
      <c r="H141" s="85">
        <f t="shared" si="18"/>
        <v>0.25</v>
      </c>
      <c r="I141" s="10" t="s">
        <v>26</v>
      </c>
      <c r="J141" s="9">
        <v>4</v>
      </c>
      <c r="K141" s="2">
        <v>0.25</v>
      </c>
      <c r="L141" s="92">
        <f t="shared" si="19"/>
        <v>3.9123630672926448</v>
      </c>
      <c r="M141" s="30">
        <f t="shared" si="17"/>
        <v>15.649452269170579</v>
      </c>
    </row>
    <row r="142" spans="1:20">
      <c r="E142" s="71" t="s">
        <v>267</v>
      </c>
      <c r="F142" s="83">
        <v>0.5</v>
      </c>
      <c r="G142" s="82" t="s">
        <v>162</v>
      </c>
      <c r="H142" s="85">
        <f t="shared" si="18"/>
        <v>0.125</v>
      </c>
      <c r="I142" s="10" t="s">
        <v>270</v>
      </c>
      <c r="J142" s="9">
        <v>2</v>
      </c>
      <c r="K142" s="2">
        <v>1.04</v>
      </c>
      <c r="L142" s="92">
        <f t="shared" si="19"/>
        <v>16.275430359937403</v>
      </c>
      <c r="M142" s="30">
        <f t="shared" si="17"/>
        <v>32.550860719874805</v>
      </c>
    </row>
    <row r="143" spans="1:20">
      <c r="E143" s="71" t="s">
        <v>268</v>
      </c>
      <c r="F143" s="83">
        <f>2/3</f>
        <v>0.66666666666666663</v>
      </c>
      <c r="G143" s="82" t="s">
        <v>162</v>
      </c>
      <c r="H143" s="85">
        <f t="shared" si="18"/>
        <v>0.16666666666666666</v>
      </c>
      <c r="K143" s="2">
        <v>0</v>
      </c>
      <c r="L143" s="92">
        <f t="shared" si="19"/>
        <v>0</v>
      </c>
      <c r="M143" s="30">
        <f t="shared" si="17"/>
        <v>0</v>
      </c>
    </row>
    <row r="144" spans="1:20">
      <c r="C144" s="71" t="s">
        <v>1332</v>
      </c>
      <c r="D144" s="6" t="s">
        <v>150</v>
      </c>
      <c r="E144" s="71" t="s">
        <v>274</v>
      </c>
      <c r="F144" s="83">
        <v>0.25</v>
      </c>
      <c r="G144" s="82" t="s">
        <v>162</v>
      </c>
      <c r="H144" s="85">
        <f t="shared" si="18"/>
        <v>6.25E-2</v>
      </c>
      <c r="I144" s="10" t="s">
        <v>270</v>
      </c>
      <c r="J144" s="9">
        <v>2</v>
      </c>
      <c r="K144" s="2">
        <v>0.48</v>
      </c>
      <c r="L144" s="92">
        <f t="shared" si="19"/>
        <v>7.511737089201878</v>
      </c>
      <c r="M144" s="30">
        <f t="shared" si="17"/>
        <v>15.023474178403756</v>
      </c>
    </row>
    <row r="145" spans="1:20">
      <c r="E145" s="71" t="s">
        <v>275</v>
      </c>
      <c r="F145" s="83">
        <v>2</v>
      </c>
      <c r="G145" s="79" t="s">
        <v>160</v>
      </c>
      <c r="H145" s="85">
        <f t="shared" si="18"/>
        <v>0.5</v>
      </c>
      <c r="I145" s="10" t="s">
        <v>270</v>
      </c>
      <c r="J145" s="9">
        <v>2</v>
      </c>
      <c r="K145" s="2">
        <v>0.25</v>
      </c>
      <c r="L145" s="92">
        <f t="shared" si="19"/>
        <v>3.9123630672926448</v>
      </c>
      <c r="M145" s="30">
        <f t="shared" si="17"/>
        <v>7.8247261345852896</v>
      </c>
    </row>
    <row r="146" spans="1:20">
      <c r="E146" s="71" t="s">
        <v>276</v>
      </c>
      <c r="F146" s="83">
        <v>2</v>
      </c>
      <c r="G146" s="82" t="s">
        <v>163</v>
      </c>
      <c r="H146" s="85">
        <f t="shared" si="18"/>
        <v>0.5</v>
      </c>
      <c r="I146" s="10" t="s">
        <v>23</v>
      </c>
      <c r="J146" s="9">
        <v>5</v>
      </c>
      <c r="K146" s="2">
        <v>0.2</v>
      </c>
      <c r="L146" s="92">
        <f t="shared" si="19"/>
        <v>3.1298904538341157</v>
      </c>
      <c r="M146" s="30">
        <f t="shared" si="17"/>
        <v>15.649452269170578</v>
      </c>
    </row>
    <row r="147" spans="1:20">
      <c r="E147" s="71" t="s">
        <v>169</v>
      </c>
      <c r="F147" s="83">
        <v>4</v>
      </c>
      <c r="G147" s="29" t="s">
        <v>161</v>
      </c>
      <c r="H147" s="85">
        <f t="shared" si="18"/>
        <v>1</v>
      </c>
      <c r="K147" s="2">
        <v>0</v>
      </c>
      <c r="L147" s="92">
        <f t="shared" si="19"/>
        <v>0</v>
      </c>
      <c r="M147" s="30">
        <f t="shared" si="17"/>
        <v>0</v>
      </c>
      <c r="R147" s="91">
        <v>5</v>
      </c>
    </row>
    <row r="148" spans="1:20">
      <c r="E148" s="139" t="s">
        <v>222</v>
      </c>
      <c r="F148" s="83">
        <v>2</v>
      </c>
      <c r="G148" s="79" t="s">
        <v>160</v>
      </c>
      <c r="H148" s="85">
        <f t="shared" si="18"/>
        <v>0.5</v>
      </c>
      <c r="I148" s="10" t="s">
        <v>56</v>
      </c>
      <c r="J148" s="9">
        <v>5</v>
      </c>
      <c r="K148" s="2">
        <v>0.03</v>
      </c>
      <c r="L148" s="92">
        <f t="shared" si="19"/>
        <v>0.46948356807511737</v>
      </c>
      <c r="M148" s="30">
        <f t="shared" si="17"/>
        <v>2.347417840375587</v>
      </c>
    </row>
    <row r="149" spans="1:20">
      <c r="E149" s="71" t="s">
        <v>277</v>
      </c>
      <c r="F149" s="83">
        <v>4</v>
      </c>
      <c r="G149" s="82" t="s">
        <v>163</v>
      </c>
      <c r="H149" s="85">
        <f t="shared" si="18"/>
        <v>1</v>
      </c>
      <c r="K149" s="2">
        <v>0</v>
      </c>
      <c r="L149" s="92">
        <f t="shared" si="19"/>
        <v>0</v>
      </c>
      <c r="M149" s="30">
        <f t="shared" si="17"/>
        <v>0</v>
      </c>
    </row>
    <row r="150" spans="1:20">
      <c r="A150" s="99"/>
      <c r="B150" s="99"/>
      <c r="C150" s="100" t="s">
        <v>1333</v>
      </c>
      <c r="D150" s="99"/>
      <c r="E150" s="100" t="s">
        <v>183</v>
      </c>
      <c r="F150" s="101">
        <v>1</v>
      </c>
      <c r="G150" s="107" t="s">
        <v>163</v>
      </c>
      <c r="H150" s="102">
        <f t="shared" si="18"/>
        <v>0.25</v>
      </c>
      <c r="I150" s="10" t="s">
        <v>278</v>
      </c>
      <c r="J150" s="9">
        <v>2</v>
      </c>
      <c r="K150" s="103">
        <v>1</v>
      </c>
      <c r="L150" s="92">
        <f t="shared" si="19"/>
        <v>15.649452269170579</v>
      </c>
      <c r="M150" s="30">
        <f t="shared" si="17"/>
        <v>31.298904538341159</v>
      </c>
      <c r="N150" s="104"/>
      <c r="O150" s="99"/>
      <c r="P150" s="99"/>
      <c r="Q150" s="105"/>
      <c r="R150" s="106"/>
    </row>
    <row r="151" spans="1:20">
      <c r="A151" s="99"/>
      <c r="B151" s="99"/>
      <c r="C151" s="100"/>
      <c r="D151" s="99"/>
      <c r="E151" s="100" t="s">
        <v>195</v>
      </c>
      <c r="F151" s="101"/>
      <c r="G151" s="29" t="s">
        <v>161</v>
      </c>
      <c r="H151" s="102">
        <v>0.5</v>
      </c>
      <c r="I151" s="10"/>
      <c r="J151" s="9"/>
      <c r="K151" s="103">
        <v>0</v>
      </c>
      <c r="L151" s="92">
        <f t="shared" si="19"/>
        <v>0</v>
      </c>
      <c r="M151" s="30">
        <f t="shared" si="17"/>
        <v>0</v>
      </c>
      <c r="N151" s="104"/>
      <c r="O151" s="99"/>
      <c r="P151" s="99"/>
      <c r="Q151" s="105">
        <v>1.5</v>
      </c>
      <c r="R151" s="106"/>
    </row>
    <row r="152" spans="1:20" ht="17.25" thickBot="1">
      <c r="A152" s="93"/>
      <c r="B152" s="93"/>
      <c r="C152" s="72"/>
      <c r="D152" s="93"/>
      <c r="E152" s="72"/>
      <c r="F152" s="87"/>
      <c r="G152" s="37"/>
      <c r="H152" s="86"/>
      <c r="I152" s="93"/>
      <c r="J152" s="93"/>
      <c r="K152" s="97">
        <f>SUM(K134:K151)</f>
        <v>6.3900000000000006</v>
      </c>
      <c r="L152" s="94">
        <f>SUM(L134:L151)</f>
        <v>100.00000000000001</v>
      </c>
      <c r="M152" s="93"/>
      <c r="N152" s="94">
        <f>SUM(M136:M150)</f>
        <v>305.00782472613457</v>
      </c>
      <c r="O152" s="93"/>
      <c r="P152" s="93" t="s">
        <v>279</v>
      </c>
      <c r="Q152" s="95">
        <f>SUM(Q134:Q151)</f>
        <v>1.5</v>
      </c>
      <c r="R152" s="96">
        <f>SUM(R136:R150)</f>
        <v>7.5</v>
      </c>
    </row>
    <row r="153" spans="1:20">
      <c r="A153" s="6">
        <v>8</v>
      </c>
      <c r="B153" s="7" t="s">
        <v>299</v>
      </c>
      <c r="C153" s="6" t="s">
        <v>1334</v>
      </c>
      <c r="D153" s="6" t="s">
        <v>981</v>
      </c>
      <c r="E153" s="108" t="s">
        <v>280</v>
      </c>
      <c r="G153" s="82" t="s">
        <v>162</v>
      </c>
      <c r="H153" s="85">
        <v>2</v>
      </c>
      <c r="I153" s="10" t="s">
        <v>56</v>
      </c>
      <c r="J153" s="9">
        <v>5</v>
      </c>
      <c r="K153" s="2">
        <v>2</v>
      </c>
      <c r="L153" s="92">
        <f>K153/8.55*100</f>
        <v>23.391812865497073</v>
      </c>
      <c r="M153" s="30">
        <f t="shared" si="17"/>
        <v>116.95906432748536</v>
      </c>
      <c r="T153" s="6" t="s">
        <v>728</v>
      </c>
    </row>
    <row r="154" spans="1:20">
      <c r="E154" s="71" t="s">
        <v>281</v>
      </c>
      <c r="G154" s="82" t="s">
        <v>162</v>
      </c>
      <c r="H154" s="85">
        <v>0.5</v>
      </c>
      <c r="I154" s="10" t="s">
        <v>23</v>
      </c>
      <c r="J154" s="9">
        <v>5</v>
      </c>
      <c r="K154" s="2">
        <v>0.5</v>
      </c>
      <c r="L154" s="92">
        <f t="shared" ref="L154:L162" si="20">K154/8.55*100</f>
        <v>5.8479532163742682</v>
      </c>
      <c r="M154" s="30">
        <f t="shared" si="17"/>
        <v>29.239766081871341</v>
      </c>
    </row>
    <row r="155" spans="1:20">
      <c r="E155" s="71" t="s">
        <v>247</v>
      </c>
      <c r="G155" s="82" t="s">
        <v>163</v>
      </c>
      <c r="H155" s="85">
        <v>8</v>
      </c>
      <c r="I155" s="10" t="s">
        <v>26</v>
      </c>
      <c r="J155" s="9">
        <v>4</v>
      </c>
      <c r="K155" s="2">
        <v>0.8</v>
      </c>
      <c r="L155" s="92">
        <f t="shared" si="20"/>
        <v>9.3567251461988299</v>
      </c>
      <c r="M155" s="30">
        <f t="shared" si="17"/>
        <v>37.42690058479532</v>
      </c>
    </row>
    <row r="156" spans="1:20">
      <c r="E156" s="71" t="s">
        <v>282</v>
      </c>
      <c r="G156" s="79" t="s">
        <v>160</v>
      </c>
      <c r="H156" s="85">
        <v>1.5</v>
      </c>
      <c r="I156" s="10" t="s">
        <v>286</v>
      </c>
      <c r="J156" s="9">
        <v>2</v>
      </c>
      <c r="K156" s="2">
        <v>0.75</v>
      </c>
      <c r="L156" s="92">
        <f t="shared" si="20"/>
        <v>8.7719298245614024</v>
      </c>
      <c r="M156" s="30">
        <f t="shared" si="17"/>
        <v>17.543859649122805</v>
      </c>
    </row>
    <row r="157" spans="1:20">
      <c r="E157" s="108" t="s">
        <v>283</v>
      </c>
      <c r="G157" s="29" t="s">
        <v>284</v>
      </c>
      <c r="H157" s="85">
        <v>1</v>
      </c>
      <c r="I157" s="10" t="s">
        <v>732</v>
      </c>
      <c r="J157" s="9">
        <v>4</v>
      </c>
      <c r="K157" s="2">
        <v>1</v>
      </c>
      <c r="L157" s="92">
        <f t="shared" si="20"/>
        <v>11.695906432748536</v>
      </c>
      <c r="M157" s="30">
        <f t="shared" si="17"/>
        <v>46.783625730994146</v>
      </c>
      <c r="T157" s="6" t="s">
        <v>719</v>
      </c>
    </row>
    <row r="158" spans="1:20">
      <c r="E158" s="108" t="s">
        <v>287</v>
      </c>
      <c r="G158" s="82" t="s">
        <v>163</v>
      </c>
      <c r="H158" s="85">
        <v>8</v>
      </c>
      <c r="I158" s="10" t="s">
        <v>746</v>
      </c>
      <c r="J158" s="9">
        <v>2</v>
      </c>
      <c r="K158" s="2">
        <v>1</v>
      </c>
      <c r="L158" s="92">
        <f t="shared" si="20"/>
        <v>11.695906432748536</v>
      </c>
      <c r="M158" s="30">
        <f t="shared" si="17"/>
        <v>23.391812865497073</v>
      </c>
    </row>
    <row r="159" spans="1:20">
      <c r="E159" s="71" t="s">
        <v>285</v>
      </c>
      <c r="G159" s="79" t="s">
        <v>160</v>
      </c>
      <c r="H159" s="85">
        <v>0.5</v>
      </c>
      <c r="J159" s="9"/>
      <c r="K159" s="2">
        <v>0</v>
      </c>
      <c r="L159" s="92">
        <f t="shared" si="20"/>
        <v>0</v>
      </c>
      <c r="M159" s="30">
        <f t="shared" si="17"/>
        <v>0</v>
      </c>
      <c r="R159" s="91">
        <v>7.5</v>
      </c>
    </row>
    <row r="160" spans="1:20">
      <c r="E160" s="71" t="s">
        <v>205</v>
      </c>
      <c r="G160" s="79" t="s">
        <v>160</v>
      </c>
      <c r="H160" s="85">
        <v>0.5</v>
      </c>
      <c r="J160" s="9"/>
      <c r="K160" s="2">
        <v>0</v>
      </c>
      <c r="L160" s="92">
        <f t="shared" si="20"/>
        <v>0</v>
      </c>
      <c r="M160" s="30">
        <f t="shared" si="17"/>
        <v>0</v>
      </c>
      <c r="R160" s="91">
        <v>1.7849999999999999</v>
      </c>
    </row>
    <row r="161" spans="1:20">
      <c r="C161" s="71" t="s">
        <v>290</v>
      </c>
      <c r="E161" s="71" t="s">
        <v>290</v>
      </c>
      <c r="G161" s="82" t="s">
        <v>163</v>
      </c>
      <c r="H161" s="85">
        <v>2.5</v>
      </c>
      <c r="I161" s="10" t="s">
        <v>288</v>
      </c>
      <c r="J161" s="9">
        <v>2</v>
      </c>
      <c r="K161" s="2">
        <v>1.25</v>
      </c>
      <c r="L161" s="92">
        <f t="shared" si="20"/>
        <v>14.619883040935672</v>
      </c>
      <c r="M161" s="30">
        <f t="shared" si="17"/>
        <v>29.239766081871345</v>
      </c>
    </row>
    <row r="162" spans="1:20">
      <c r="C162" s="71" t="s">
        <v>188</v>
      </c>
      <c r="E162" s="71" t="s">
        <v>188</v>
      </c>
      <c r="G162" s="82" t="s">
        <v>163</v>
      </c>
      <c r="H162" s="85">
        <v>5</v>
      </c>
      <c r="I162" s="10" t="s">
        <v>291</v>
      </c>
      <c r="J162" s="9">
        <v>5</v>
      </c>
      <c r="K162" s="2">
        <v>1.25</v>
      </c>
      <c r="L162" s="92">
        <f t="shared" si="20"/>
        <v>14.619883040935672</v>
      </c>
      <c r="M162" s="30">
        <f t="shared" si="17"/>
        <v>73.099415204678365</v>
      </c>
    </row>
    <row r="163" spans="1:20" ht="17.25" thickBot="1">
      <c r="A163" s="93"/>
      <c r="B163" s="93"/>
      <c r="C163" s="72"/>
      <c r="D163" s="93"/>
      <c r="E163" s="72"/>
      <c r="F163" s="87"/>
      <c r="G163" s="37"/>
      <c r="H163" s="86"/>
      <c r="I163" s="93"/>
      <c r="J163" s="93"/>
      <c r="K163" s="97">
        <f>SUM(K153:K162)</f>
        <v>8.5500000000000007</v>
      </c>
      <c r="L163" s="94">
        <f>SUM(L153:L162)</f>
        <v>100</v>
      </c>
      <c r="M163" s="93"/>
      <c r="N163" s="94">
        <f>SUM(M153:M162)</f>
        <v>373.68421052631572</v>
      </c>
      <c r="O163" s="93"/>
      <c r="P163" s="93" t="s">
        <v>240</v>
      </c>
      <c r="Q163" s="95"/>
      <c r="R163" s="96">
        <f>SUM(R153:R162)</f>
        <v>9.2850000000000001</v>
      </c>
    </row>
    <row r="164" spans="1:20">
      <c r="A164" s="6">
        <v>9</v>
      </c>
      <c r="B164" s="7" t="s">
        <v>300</v>
      </c>
      <c r="C164" s="71" t="s">
        <v>729</v>
      </c>
      <c r="D164" s="6" t="s">
        <v>981</v>
      </c>
      <c r="E164" s="71" t="s">
        <v>302</v>
      </c>
      <c r="F164" s="83">
        <v>16</v>
      </c>
      <c r="G164" s="29" t="s">
        <v>194</v>
      </c>
      <c r="H164" s="85">
        <f t="shared" ref="H164:H173" si="21">F164/4</f>
        <v>4</v>
      </c>
      <c r="I164" s="10" t="s">
        <v>15</v>
      </c>
      <c r="J164" s="9">
        <v>2</v>
      </c>
      <c r="K164" s="2">
        <v>4</v>
      </c>
      <c r="L164" s="92">
        <f>K164/9.3*100</f>
        <v>43.01075268817204</v>
      </c>
      <c r="M164" s="30">
        <f t="shared" si="17"/>
        <v>86.021505376344081</v>
      </c>
      <c r="T164" s="6" t="s">
        <v>730</v>
      </c>
    </row>
    <row r="165" spans="1:20">
      <c r="E165" s="71" t="s">
        <v>303</v>
      </c>
      <c r="F165" s="83">
        <v>1</v>
      </c>
      <c r="G165" s="82" t="s">
        <v>163</v>
      </c>
      <c r="H165" s="85">
        <f t="shared" si="21"/>
        <v>0.25</v>
      </c>
      <c r="I165" s="10" t="s">
        <v>14</v>
      </c>
      <c r="J165" s="9">
        <v>5</v>
      </c>
      <c r="K165" s="2">
        <v>0.34</v>
      </c>
      <c r="L165" s="92">
        <f t="shared" ref="L165:L176" si="22">K165/9.3*100</f>
        <v>3.655913978494624</v>
      </c>
      <c r="M165" s="30">
        <f t="shared" si="17"/>
        <v>18.27956989247312</v>
      </c>
    </row>
    <row r="166" spans="1:20">
      <c r="E166" s="71" t="s">
        <v>304</v>
      </c>
      <c r="F166" s="83">
        <v>1</v>
      </c>
      <c r="G166" s="82" t="s">
        <v>163</v>
      </c>
      <c r="H166" s="85">
        <f t="shared" si="21"/>
        <v>0.25</v>
      </c>
      <c r="K166" s="2">
        <v>0</v>
      </c>
      <c r="L166" s="92">
        <f t="shared" si="22"/>
        <v>0</v>
      </c>
      <c r="M166" s="30">
        <f t="shared" si="17"/>
        <v>0</v>
      </c>
    </row>
    <row r="167" spans="1:20">
      <c r="B167" s="7"/>
      <c r="E167" s="71" t="s">
        <v>197</v>
      </c>
      <c r="F167" s="83">
        <v>4</v>
      </c>
      <c r="G167" s="82" t="s">
        <v>163</v>
      </c>
      <c r="H167" s="85">
        <f t="shared" si="21"/>
        <v>1</v>
      </c>
      <c r="I167" s="10" t="s">
        <v>311</v>
      </c>
      <c r="J167" s="9">
        <v>5</v>
      </c>
      <c r="K167" s="2">
        <v>1</v>
      </c>
      <c r="L167" s="92">
        <f t="shared" si="22"/>
        <v>10.75268817204301</v>
      </c>
      <c r="M167" s="30">
        <f t="shared" si="17"/>
        <v>53.763440860215049</v>
      </c>
    </row>
    <row r="168" spans="1:20">
      <c r="E168" s="71" t="s">
        <v>305</v>
      </c>
      <c r="F168" s="83">
        <v>1</v>
      </c>
      <c r="G168" s="79" t="s">
        <v>160</v>
      </c>
      <c r="H168" s="85">
        <f t="shared" si="21"/>
        <v>0.25</v>
      </c>
      <c r="K168" s="2">
        <v>0</v>
      </c>
      <c r="L168" s="92">
        <f t="shared" si="22"/>
        <v>0</v>
      </c>
      <c r="M168" s="30">
        <f t="shared" si="17"/>
        <v>0</v>
      </c>
    </row>
    <row r="169" spans="1:20">
      <c r="E169" s="71" t="s">
        <v>306</v>
      </c>
      <c r="F169" s="83">
        <v>15</v>
      </c>
      <c r="G169" s="29" t="s">
        <v>194</v>
      </c>
      <c r="H169" s="85">
        <f t="shared" si="21"/>
        <v>3.75</v>
      </c>
      <c r="I169" s="10" t="s">
        <v>731</v>
      </c>
      <c r="J169" s="9">
        <v>4</v>
      </c>
      <c r="K169" s="2">
        <v>1</v>
      </c>
      <c r="L169" s="92">
        <f t="shared" si="22"/>
        <v>10.75268817204301</v>
      </c>
      <c r="M169" s="30">
        <f t="shared" si="17"/>
        <v>43.01075268817204</v>
      </c>
      <c r="T169" s="6" t="s">
        <v>719</v>
      </c>
    </row>
    <row r="170" spans="1:20">
      <c r="B170" s="7"/>
      <c r="E170" s="71" t="s">
        <v>307</v>
      </c>
      <c r="F170" s="83">
        <v>14</v>
      </c>
      <c r="G170" s="29" t="s">
        <v>194</v>
      </c>
      <c r="H170" s="85">
        <f t="shared" si="21"/>
        <v>3.5</v>
      </c>
      <c r="I170" s="10" t="s">
        <v>26</v>
      </c>
      <c r="J170" s="9">
        <v>4</v>
      </c>
      <c r="K170" s="2">
        <v>0.43</v>
      </c>
      <c r="L170" s="92">
        <f t="shared" si="22"/>
        <v>4.6236559139784941</v>
      </c>
      <c r="M170" s="30">
        <f t="shared" si="17"/>
        <v>18.494623655913976</v>
      </c>
    </row>
    <row r="171" spans="1:20">
      <c r="E171" s="108" t="s">
        <v>308</v>
      </c>
      <c r="F171" s="83">
        <v>9</v>
      </c>
      <c r="G171" s="29" t="s">
        <v>194</v>
      </c>
      <c r="H171" s="85">
        <f t="shared" si="21"/>
        <v>2.25</v>
      </c>
      <c r="I171" s="10" t="s">
        <v>23</v>
      </c>
      <c r="J171" s="9">
        <v>5</v>
      </c>
      <c r="K171" s="2">
        <v>0.28000000000000003</v>
      </c>
      <c r="L171" s="92">
        <f t="shared" si="22"/>
        <v>3.010752688172043</v>
      </c>
      <c r="M171" s="30">
        <f t="shared" si="17"/>
        <v>15.053763440860216</v>
      </c>
      <c r="T171" s="6" t="s">
        <v>733</v>
      </c>
    </row>
    <row r="172" spans="1:20">
      <c r="E172" s="71" t="s">
        <v>309</v>
      </c>
      <c r="F172" s="83">
        <v>8</v>
      </c>
      <c r="G172" s="82" t="s">
        <v>163</v>
      </c>
      <c r="H172" s="85">
        <f t="shared" si="21"/>
        <v>2</v>
      </c>
      <c r="I172" s="10" t="s">
        <v>135</v>
      </c>
      <c r="J172" s="9">
        <v>2</v>
      </c>
      <c r="K172" s="2">
        <f>H172/8</f>
        <v>0.25</v>
      </c>
      <c r="L172" s="92">
        <f t="shared" si="22"/>
        <v>2.6881720430107525</v>
      </c>
      <c r="M172" s="30">
        <f t="shared" si="17"/>
        <v>5.376344086021505</v>
      </c>
    </row>
    <row r="173" spans="1:20">
      <c r="B173" s="7"/>
      <c r="E173" s="71" t="s">
        <v>310</v>
      </c>
      <c r="F173" s="83">
        <v>1</v>
      </c>
      <c r="G173" s="79" t="s">
        <v>160</v>
      </c>
      <c r="H173" s="85">
        <f t="shared" si="21"/>
        <v>0.25</v>
      </c>
      <c r="K173" s="2">
        <v>0</v>
      </c>
      <c r="L173" s="92">
        <f t="shared" si="22"/>
        <v>0</v>
      </c>
      <c r="M173" s="30">
        <f t="shared" si="17"/>
        <v>0</v>
      </c>
      <c r="R173" s="91">
        <v>1.25</v>
      </c>
    </row>
    <row r="174" spans="1:20">
      <c r="E174" s="71" t="s">
        <v>301</v>
      </c>
      <c r="G174" s="29" t="s">
        <v>161</v>
      </c>
      <c r="H174" s="85">
        <v>1</v>
      </c>
      <c r="K174" s="2">
        <v>0</v>
      </c>
      <c r="L174" s="92">
        <f t="shared" si="22"/>
        <v>0</v>
      </c>
      <c r="M174" s="30">
        <f t="shared" si="17"/>
        <v>0</v>
      </c>
      <c r="R174" s="91">
        <v>1.25</v>
      </c>
    </row>
    <row r="175" spans="1:20">
      <c r="E175" s="71" t="s">
        <v>169</v>
      </c>
      <c r="G175" s="29" t="s">
        <v>161</v>
      </c>
      <c r="H175" s="85">
        <v>1</v>
      </c>
      <c r="K175" s="2">
        <v>0</v>
      </c>
      <c r="L175" s="92">
        <f t="shared" si="22"/>
        <v>0</v>
      </c>
      <c r="M175" s="30">
        <f t="shared" si="17"/>
        <v>0</v>
      </c>
      <c r="R175" s="91">
        <v>5</v>
      </c>
    </row>
    <row r="176" spans="1:20">
      <c r="C176" s="71" t="s">
        <v>737</v>
      </c>
      <c r="E176" s="108" t="s">
        <v>280</v>
      </c>
      <c r="G176" s="82" t="s">
        <v>162</v>
      </c>
      <c r="H176" s="85">
        <v>2</v>
      </c>
      <c r="I176" s="10" t="s">
        <v>56</v>
      </c>
      <c r="J176" s="9">
        <v>5</v>
      </c>
      <c r="K176" s="2">
        <v>2</v>
      </c>
      <c r="L176" s="92">
        <f t="shared" si="22"/>
        <v>21.50537634408602</v>
      </c>
      <c r="M176" s="30">
        <f t="shared" si="17"/>
        <v>107.5268817204301</v>
      </c>
      <c r="T176" s="6" t="s">
        <v>723</v>
      </c>
    </row>
    <row r="177" spans="1:20" ht="17.25" thickBot="1">
      <c r="A177" s="93"/>
      <c r="B177" s="93"/>
      <c r="C177" s="72"/>
      <c r="D177" s="93"/>
      <c r="E177" s="72"/>
      <c r="F177" s="87"/>
      <c r="G177" s="37"/>
      <c r="H177" s="86"/>
      <c r="I177" s="93"/>
      <c r="J177" s="93"/>
      <c r="K177" s="97">
        <f>SUM(K164:K176)</f>
        <v>9.3000000000000007</v>
      </c>
      <c r="L177" s="94">
        <f>SUM(L164:L176)</f>
        <v>100</v>
      </c>
      <c r="M177" s="93"/>
      <c r="N177" s="94">
        <f>SUM(M164:M176)</f>
        <v>347.52688172043008</v>
      </c>
      <c r="O177" s="93"/>
      <c r="P177" s="93" t="s">
        <v>240</v>
      </c>
      <c r="Q177" s="95"/>
      <c r="R177" s="96">
        <f>SUM(R164:R176)</f>
        <v>7.5</v>
      </c>
    </row>
    <row r="178" spans="1:20">
      <c r="A178" s="6">
        <v>10</v>
      </c>
      <c r="B178" s="7" t="s">
        <v>313</v>
      </c>
      <c r="C178" s="6" t="s">
        <v>312</v>
      </c>
      <c r="D178" s="6" t="s">
        <v>981</v>
      </c>
      <c r="E178" s="71" t="s">
        <v>317</v>
      </c>
      <c r="G178" s="82" t="s">
        <v>163</v>
      </c>
      <c r="H178" s="85">
        <v>1</v>
      </c>
      <c r="I178" s="10" t="s">
        <v>15</v>
      </c>
      <c r="J178" s="9">
        <v>2</v>
      </c>
      <c r="K178" s="2">
        <v>1</v>
      </c>
      <c r="L178" s="92">
        <f>K178/4.25*100</f>
        <v>23.52941176470588</v>
      </c>
      <c r="M178" s="30">
        <f t="shared" si="17"/>
        <v>47.058823529411761</v>
      </c>
    </row>
    <row r="179" spans="1:20">
      <c r="E179" s="108" t="s">
        <v>314</v>
      </c>
      <c r="G179" s="82" t="s">
        <v>163</v>
      </c>
      <c r="H179" s="85">
        <v>0.5</v>
      </c>
      <c r="K179" s="2">
        <v>0</v>
      </c>
      <c r="L179" s="92">
        <f t="shared" ref="L179:L184" si="23">K179/4.25*100</f>
        <v>0</v>
      </c>
      <c r="M179" s="30">
        <f t="shared" si="17"/>
        <v>0</v>
      </c>
    </row>
    <row r="180" spans="1:20">
      <c r="E180" s="71" t="s">
        <v>315</v>
      </c>
      <c r="G180" s="82" t="s">
        <v>163</v>
      </c>
      <c r="H180" s="85">
        <v>1</v>
      </c>
      <c r="I180" s="10" t="s">
        <v>318</v>
      </c>
      <c r="J180" s="9">
        <v>2</v>
      </c>
      <c r="K180" s="2">
        <v>1</v>
      </c>
      <c r="L180" s="92">
        <f t="shared" si="23"/>
        <v>23.52941176470588</v>
      </c>
      <c r="M180" s="30">
        <f t="shared" si="17"/>
        <v>47.058823529411761</v>
      </c>
    </row>
    <row r="181" spans="1:20">
      <c r="E181" s="71" t="s">
        <v>285</v>
      </c>
      <c r="G181" s="29" t="s">
        <v>161</v>
      </c>
      <c r="H181" s="85">
        <v>0.25</v>
      </c>
      <c r="K181" s="2">
        <v>0</v>
      </c>
      <c r="L181" s="92">
        <f t="shared" si="23"/>
        <v>0</v>
      </c>
      <c r="M181" s="30">
        <f t="shared" si="17"/>
        <v>0</v>
      </c>
      <c r="R181" s="91">
        <v>1.25</v>
      </c>
    </row>
    <row r="182" spans="1:20">
      <c r="E182" s="71" t="s">
        <v>195</v>
      </c>
      <c r="G182" s="29" t="s">
        <v>161</v>
      </c>
      <c r="H182" s="85">
        <v>0.1</v>
      </c>
      <c r="K182" s="2">
        <v>0</v>
      </c>
      <c r="L182" s="92">
        <f t="shared" si="23"/>
        <v>0</v>
      </c>
      <c r="M182" s="30">
        <f t="shared" si="17"/>
        <v>0</v>
      </c>
      <c r="Q182" s="90">
        <v>0.3</v>
      </c>
    </row>
    <row r="183" spans="1:20">
      <c r="E183" s="108" t="s">
        <v>316</v>
      </c>
      <c r="G183" s="82" t="s">
        <v>163</v>
      </c>
      <c r="H183" s="85">
        <v>1</v>
      </c>
      <c r="I183" s="10" t="s">
        <v>165</v>
      </c>
      <c r="J183" s="9">
        <v>5</v>
      </c>
      <c r="K183" s="2">
        <v>1</v>
      </c>
      <c r="L183" s="92">
        <f t="shared" si="23"/>
        <v>23.52941176470588</v>
      </c>
      <c r="M183" s="30">
        <f t="shared" si="17"/>
        <v>117.64705882352941</v>
      </c>
      <c r="T183" s="6" t="s">
        <v>734</v>
      </c>
    </row>
    <row r="184" spans="1:20">
      <c r="C184" s="6" t="s">
        <v>738</v>
      </c>
      <c r="D184" s="6" t="s">
        <v>981</v>
      </c>
      <c r="E184" s="71" t="s">
        <v>319</v>
      </c>
      <c r="G184" s="82" t="s">
        <v>162</v>
      </c>
      <c r="H184" s="85">
        <v>0.25</v>
      </c>
      <c r="I184" s="10" t="s">
        <v>288</v>
      </c>
      <c r="J184" s="9">
        <v>2</v>
      </c>
      <c r="K184" s="2">
        <v>1.25</v>
      </c>
      <c r="L184" s="92">
        <f t="shared" si="23"/>
        <v>29.411764705882355</v>
      </c>
      <c r="M184" s="30">
        <f t="shared" si="17"/>
        <v>58.82352941176471</v>
      </c>
    </row>
    <row r="185" spans="1:20" ht="17.25" thickBot="1">
      <c r="A185" s="93"/>
      <c r="B185" s="93"/>
      <c r="C185" s="72"/>
      <c r="D185" s="93"/>
      <c r="E185" s="72"/>
      <c r="F185" s="87"/>
      <c r="G185" s="37"/>
      <c r="H185" s="86"/>
      <c r="I185" s="93"/>
      <c r="J185" s="93"/>
      <c r="K185" s="97">
        <f>SUM(K178:K184)</f>
        <v>4.25</v>
      </c>
      <c r="L185" s="94">
        <f>SUM(L178:L184)</f>
        <v>100</v>
      </c>
      <c r="M185" s="93"/>
      <c r="N185" s="94">
        <f>SUM(M178:M184)</f>
        <v>270.58823529411762</v>
      </c>
      <c r="O185" s="93"/>
      <c r="P185" s="93" t="s">
        <v>279</v>
      </c>
      <c r="Q185" s="95">
        <f>SUM(Q178:Q184)</f>
        <v>0.3</v>
      </c>
      <c r="R185" s="96">
        <f>SUM(R178:R184)</f>
        <v>1.25</v>
      </c>
    </row>
    <row r="186" spans="1:20">
      <c r="A186" s="6">
        <v>11</v>
      </c>
      <c r="B186" s="7" t="s">
        <v>320</v>
      </c>
      <c r="C186" s="71" t="s">
        <v>735</v>
      </c>
      <c r="D186" s="6" t="s">
        <v>981</v>
      </c>
      <c r="E186" s="71" t="s">
        <v>321</v>
      </c>
      <c r="G186" s="29" t="s">
        <v>194</v>
      </c>
      <c r="H186" s="85">
        <v>5</v>
      </c>
      <c r="I186" s="10" t="s">
        <v>326</v>
      </c>
      <c r="J186" s="9">
        <v>4</v>
      </c>
      <c r="K186" s="2">
        <v>5</v>
      </c>
      <c r="L186" s="92">
        <f>K186/11.84*100</f>
        <v>42.229729729729733</v>
      </c>
      <c r="M186" s="30">
        <f t="shared" si="17"/>
        <v>168.91891891891893</v>
      </c>
    </row>
    <row r="187" spans="1:20">
      <c r="E187" s="71" t="s">
        <v>285</v>
      </c>
      <c r="G187" s="29" t="s">
        <v>161</v>
      </c>
      <c r="H187" s="85">
        <v>1</v>
      </c>
      <c r="K187" s="2">
        <v>0</v>
      </c>
      <c r="L187" s="92">
        <f t="shared" ref="L187:L194" si="24">K187/11.84*100</f>
        <v>0</v>
      </c>
      <c r="M187" s="30">
        <f t="shared" si="17"/>
        <v>0</v>
      </c>
      <c r="R187" s="91">
        <v>5</v>
      </c>
    </row>
    <row r="188" spans="1:20">
      <c r="E188" s="71" t="s">
        <v>247</v>
      </c>
      <c r="G188" s="82" t="s">
        <v>162</v>
      </c>
      <c r="H188" s="85">
        <v>0.5</v>
      </c>
      <c r="I188" s="10" t="s">
        <v>26</v>
      </c>
      <c r="J188" s="9">
        <v>4</v>
      </c>
      <c r="K188" s="2">
        <v>0.5</v>
      </c>
      <c r="L188" s="92">
        <f t="shared" si="24"/>
        <v>4.2229729729729728</v>
      </c>
      <c r="M188" s="30">
        <f t="shared" si="17"/>
        <v>16.891891891891891</v>
      </c>
    </row>
    <row r="189" spans="1:20">
      <c r="E189" s="71" t="s">
        <v>322</v>
      </c>
      <c r="G189" s="82" t="s">
        <v>162</v>
      </c>
      <c r="H189" s="85">
        <v>1</v>
      </c>
      <c r="I189" s="10" t="s">
        <v>26</v>
      </c>
      <c r="J189" s="9">
        <v>4</v>
      </c>
      <c r="K189" s="2">
        <v>1</v>
      </c>
      <c r="L189" s="92">
        <f t="shared" si="24"/>
        <v>8.4459459459459456</v>
      </c>
      <c r="M189" s="30">
        <f t="shared" si="17"/>
        <v>33.783783783783782</v>
      </c>
    </row>
    <row r="190" spans="1:20">
      <c r="E190" s="71" t="s">
        <v>285</v>
      </c>
      <c r="G190" s="79" t="s">
        <v>160</v>
      </c>
      <c r="H190" s="85">
        <v>0.5</v>
      </c>
      <c r="K190" s="2">
        <v>0</v>
      </c>
      <c r="L190" s="92">
        <f t="shared" si="24"/>
        <v>0</v>
      </c>
      <c r="M190" s="30">
        <f t="shared" si="17"/>
        <v>0</v>
      </c>
      <c r="R190" s="91">
        <v>7.5</v>
      </c>
    </row>
    <row r="191" spans="1:20">
      <c r="E191" s="71" t="s">
        <v>195</v>
      </c>
      <c r="G191" s="29" t="s">
        <v>161</v>
      </c>
      <c r="H191" s="85">
        <v>0.1</v>
      </c>
      <c r="K191" s="2">
        <v>0</v>
      </c>
      <c r="L191" s="92">
        <f t="shared" si="24"/>
        <v>0</v>
      </c>
      <c r="M191" s="30">
        <f t="shared" si="17"/>
        <v>0</v>
      </c>
      <c r="Q191" s="90">
        <v>0.3</v>
      </c>
    </row>
    <row r="192" spans="1:20">
      <c r="E192" s="108" t="s">
        <v>323</v>
      </c>
      <c r="G192" s="82" t="s">
        <v>162</v>
      </c>
      <c r="H192" s="85">
        <v>1</v>
      </c>
      <c r="I192" s="10" t="s">
        <v>327</v>
      </c>
      <c r="J192" s="9">
        <v>4</v>
      </c>
      <c r="K192" s="2">
        <v>3</v>
      </c>
      <c r="L192" s="92">
        <f t="shared" si="24"/>
        <v>25.337837837837839</v>
      </c>
      <c r="M192" s="30">
        <f t="shared" si="17"/>
        <v>101.35135135135135</v>
      </c>
      <c r="T192" s="6" t="s">
        <v>736</v>
      </c>
    </row>
    <row r="193" spans="1:20">
      <c r="E193" s="71" t="s">
        <v>324</v>
      </c>
      <c r="G193" s="82" t="s">
        <v>163</v>
      </c>
      <c r="H193" s="85">
        <v>0.25</v>
      </c>
      <c r="I193" s="10" t="s">
        <v>327</v>
      </c>
      <c r="J193" s="9">
        <v>4</v>
      </c>
      <c r="K193" s="2">
        <v>0.54</v>
      </c>
      <c r="L193" s="92">
        <f t="shared" si="24"/>
        <v>4.5608108108108114</v>
      </c>
      <c r="M193" s="30">
        <f t="shared" si="17"/>
        <v>18.243243243243246</v>
      </c>
    </row>
    <row r="194" spans="1:20">
      <c r="C194" s="71" t="s">
        <v>325</v>
      </c>
      <c r="D194" s="6" t="s">
        <v>981</v>
      </c>
      <c r="E194" s="71" t="s">
        <v>325</v>
      </c>
      <c r="G194" s="82" t="s">
        <v>163</v>
      </c>
      <c r="H194" s="85">
        <v>1</v>
      </c>
      <c r="I194" s="10" t="s">
        <v>165</v>
      </c>
      <c r="J194" s="9">
        <v>5</v>
      </c>
      <c r="K194" s="2">
        <v>1.8</v>
      </c>
      <c r="L194" s="92">
        <f t="shared" si="24"/>
        <v>15.202702702702704</v>
      </c>
      <c r="M194" s="30">
        <f t="shared" ref="M194" si="25">L194*J194</f>
        <v>76.013513513513516</v>
      </c>
    </row>
    <row r="195" spans="1:20" ht="17.25" thickBot="1">
      <c r="A195" s="93"/>
      <c r="B195" s="93"/>
      <c r="C195" s="72"/>
      <c r="D195" s="93"/>
      <c r="E195" s="72"/>
      <c r="F195" s="87"/>
      <c r="G195" s="37"/>
      <c r="H195" s="86"/>
      <c r="I195" s="93"/>
      <c r="J195" s="93"/>
      <c r="K195" s="97">
        <f>SUM(K186:K194)</f>
        <v>11.84</v>
      </c>
      <c r="L195" s="94">
        <f>SUM(L186:L194)</f>
        <v>100</v>
      </c>
      <c r="M195" s="93"/>
      <c r="N195" s="94">
        <f>SUM(M186:M194)</f>
        <v>415.20270270270271</v>
      </c>
      <c r="O195" s="93"/>
      <c r="P195" s="93" t="s">
        <v>192</v>
      </c>
      <c r="Q195" s="95">
        <f>SUM(Q186:Q194)</f>
        <v>0.3</v>
      </c>
      <c r="R195" s="96">
        <f>SUM(R186:R194)</f>
        <v>12.5</v>
      </c>
    </row>
    <row r="196" spans="1:20">
      <c r="A196" s="6">
        <v>12</v>
      </c>
      <c r="B196" s="7" t="s">
        <v>328</v>
      </c>
      <c r="C196" s="6" t="s">
        <v>329</v>
      </c>
      <c r="D196" s="6" t="s">
        <v>981</v>
      </c>
      <c r="E196" s="108" t="s">
        <v>280</v>
      </c>
      <c r="G196" s="82" t="s">
        <v>162</v>
      </c>
      <c r="H196" s="85">
        <v>2</v>
      </c>
      <c r="I196" s="10" t="s">
        <v>56</v>
      </c>
      <c r="J196" s="9">
        <v>5</v>
      </c>
      <c r="K196" s="2">
        <v>2</v>
      </c>
      <c r="L196" s="92">
        <f>K196/5.155*100</f>
        <v>38.797284190106687</v>
      </c>
      <c r="M196" s="30">
        <f t="shared" ref="M196:M259" si="26">L196*J196</f>
        <v>193.98642095053344</v>
      </c>
      <c r="T196" s="6" t="s">
        <v>893</v>
      </c>
    </row>
    <row r="197" spans="1:20">
      <c r="E197" s="71" t="s">
        <v>331</v>
      </c>
      <c r="G197" s="82" t="s">
        <v>162</v>
      </c>
      <c r="H197" s="85">
        <v>0.5</v>
      </c>
      <c r="I197" s="10" t="s">
        <v>23</v>
      </c>
      <c r="J197" s="9">
        <v>5</v>
      </c>
      <c r="K197" s="2">
        <v>0.5</v>
      </c>
      <c r="L197" s="92">
        <f t="shared" ref="L197:L204" si="27">K197/5.155*100</f>
        <v>9.6993210475266718</v>
      </c>
      <c r="M197" s="30">
        <f t="shared" si="26"/>
        <v>48.496605237633361</v>
      </c>
    </row>
    <row r="198" spans="1:20">
      <c r="C198" s="6"/>
      <c r="E198" s="71" t="s">
        <v>256</v>
      </c>
      <c r="G198" s="79" t="s">
        <v>160</v>
      </c>
      <c r="H198" s="85">
        <v>2</v>
      </c>
      <c r="I198" s="10" t="s">
        <v>26</v>
      </c>
      <c r="J198" s="9">
        <v>4</v>
      </c>
      <c r="K198" s="2">
        <v>0.125</v>
      </c>
      <c r="L198" s="92">
        <f t="shared" si="27"/>
        <v>2.4248302618816679</v>
      </c>
      <c r="M198" s="30">
        <f t="shared" si="26"/>
        <v>9.6993210475266718</v>
      </c>
    </row>
    <row r="199" spans="1:20">
      <c r="E199" s="71" t="s">
        <v>285</v>
      </c>
      <c r="G199" s="79" t="s">
        <v>160</v>
      </c>
      <c r="H199" s="85">
        <v>0.5</v>
      </c>
      <c r="K199" s="2">
        <v>0</v>
      </c>
      <c r="L199" s="92">
        <f t="shared" si="27"/>
        <v>0</v>
      </c>
      <c r="M199" s="30">
        <f t="shared" si="26"/>
        <v>0</v>
      </c>
      <c r="R199" s="91">
        <v>7.5</v>
      </c>
    </row>
    <row r="200" spans="1:20">
      <c r="E200" s="137" t="s">
        <v>205</v>
      </c>
      <c r="G200" s="79" t="s">
        <v>160</v>
      </c>
      <c r="H200" s="85">
        <v>0.5</v>
      </c>
      <c r="K200" s="2">
        <v>0</v>
      </c>
      <c r="L200" s="92">
        <f t="shared" si="27"/>
        <v>0</v>
      </c>
      <c r="M200" s="30">
        <f t="shared" si="26"/>
        <v>0</v>
      </c>
      <c r="R200" s="91">
        <v>1.875</v>
      </c>
      <c r="T200" s="6" t="s">
        <v>894</v>
      </c>
    </row>
    <row r="201" spans="1:20">
      <c r="E201" s="108" t="s">
        <v>332</v>
      </c>
      <c r="G201" s="82" t="s">
        <v>163</v>
      </c>
      <c r="H201" s="85">
        <v>1</v>
      </c>
      <c r="I201" s="10" t="s">
        <v>327</v>
      </c>
      <c r="J201" s="9">
        <v>4</v>
      </c>
      <c r="K201" s="2">
        <v>1.08</v>
      </c>
      <c r="L201" s="92">
        <f t="shared" si="27"/>
        <v>20.950533462657614</v>
      </c>
      <c r="M201" s="30">
        <f t="shared" si="26"/>
        <v>83.802133850630455</v>
      </c>
      <c r="T201" s="6" t="s">
        <v>895</v>
      </c>
    </row>
    <row r="202" spans="1:20">
      <c r="E202" s="71" t="s">
        <v>1340</v>
      </c>
      <c r="G202" s="82" t="s">
        <v>162</v>
      </c>
      <c r="H202" s="85">
        <v>0.25</v>
      </c>
      <c r="I202" s="10" t="s">
        <v>20</v>
      </c>
      <c r="J202" s="9">
        <v>4</v>
      </c>
      <c r="K202" s="2">
        <v>0.75</v>
      </c>
      <c r="L202" s="92">
        <f t="shared" si="27"/>
        <v>14.54898157129001</v>
      </c>
      <c r="M202" s="30">
        <f t="shared" si="26"/>
        <v>58.195926285160041</v>
      </c>
      <c r="T202" s="6" t="s">
        <v>896</v>
      </c>
    </row>
    <row r="203" spans="1:20">
      <c r="C203" s="109" t="s">
        <v>330</v>
      </c>
      <c r="D203" s="6" t="s">
        <v>981</v>
      </c>
      <c r="E203" s="71" t="s">
        <v>333</v>
      </c>
      <c r="G203" s="82" t="s">
        <v>162</v>
      </c>
      <c r="H203" s="85">
        <v>0.5</v>
      </c>
      <c r="I203" s="10" t="s">
        <v>28</v>
      </c>
      <c r="J203" s="9">
        <v>3</v>
      </c>
      <c r="K203" s="2">
        <v>0.5</v>
      </c>
      <c r="L203" s="92">
        <f t="shared" si="27"/>
        <v>9.6993210475266718</v>
      </c>
      <c r="M203" s="30">
        <f t="shared" si="26"/>
        <v>29.097963142580014</v>
      </c>
    </row>
    <row r="204" spans="1:20">
      <c r="E204" s="71" t="s">
        <v>236</v>
      </c>
      <c r="G204" s="82" t="s">
        <v>162</v>
      </c>
      <c r="H204" s="85">
        <v>0.25</v>
      </c>
      <c r="I204" s="10" t="s">
        <v>165</v>
      </c>
      <c r="J204" s="9">
        <v>5</v>
      </c>
      <c r="K204" s="2">
        <v>0.2</v>
      </c>
      <c r="L204" s="92">
        <f t="shared" si="27"/>
        <v>3.8797284190106698</v>
      </c>
      <c r="M204" s="30">
        <f t="shared" si="26"/>
        <v>19.398642095053347</v>
      </c>
    </row>
    <row r="205" spans="1:20" ht="17.25" thickBot="1">
      <c r="A205" s="93"/>
      <c r="B205" s="93"/>
      <c r="C205" s="72"/>
      <c r="D205" s="93"/>
      <c r="E205" s="72"/>
      <c r="F205" s="87"/>
      <c r="G205" s="37"/>
      <c r="H205" s="86"/>
      <c r="I205" s="93"/>
      <c r="J205" s="93"/>
      <c r="K205" s="97">
        <f>SUM(K196:K204)</f>
        <v>5.1550000000000002</v>
      </c>
      <c r="L205" s="94">
        <f>SUM(L196:L204)</f>
        <v>100</v>
      </c>
      <c r="M205" s="93"/>
      <c r="N205" s="94">
        <f>SUM(M196:M204)</f>
        <v>442.6770126091173</v>
      </c>
      <c r="O205" s="93"/>
      <c r="P205" s="93" t="s">
        <v>192</v>
      </c>
      <c r="Q205" s="95"/>
      <c r="R205" s="96">
        <f>SUM(R196:R204)</f>
        <v>9.375</v>
      </c>
    </row>
    <row r="206" spans="1:20">
      <c r="A206" s="6">
        <v>13</v>
      </c>
      <c r="B206" s="7" t="s">
        <v>335</v>
      </c>
      <c r="C206" s="6" t="s">
        <v>334</v>
      </c>
      <c r="D206" s="6" t="s">
        <v>902</v>
      </c>
      <c r="E206" s="71" t="s">
        <v>336</v>
      </c>
      <c r="F206" s="83">
        <v>6</v>
      </c>
      <c r="G206" s="82" t="s">
        <v>49</v>
      </c>
      <c r="H206" s="85">
        <f>F206/6</f>
        <v>1</v>
      </c>
      <c r="I206" s="10" t="s">
        <v>15</v>
      </c>
      <c r="J206" s="9">
        <v>2</v>
      </c>
      <c r="K206" s="2">
        <v>1.6</v>
      </c>
      <c r="L206" s="92">
        <f>K206/8.171*100</f>
        <v>19.581446579366052</v>
      </c>
      <c r="M206" s="30">
        <f t="shared" si="26"/>
        <v>39.162893158732103</v>
      </c>
    </row>
    <row r="207" spans="1:20">
      <c r="E207" s="108" t="s">
        <v>337</v>
      </c>
      <c r="F207" s="83">
        <v>1.33</v>
      </c>
      <c r="G207" s="82" t="s">
        <v>49</v>
      </c>
      <c r="H207" s="85">
        <f t="shared" ref="H207:H214" si="28">F207/6</f>
        <v>0.22166666666666668</v>
      </c>
      <c r="I207" s="10" t="s">
        <v>25</v>
      </c>
      <c r="J207" s="9">
        <v>4</v>
      </c>
      <c r="K207" s="2">
        <v>0.88</v>
      </c>
      <c r="L207" s="92">
        <f t="shared" ref="L207:L219" si="29">K207/8.171*100</f>
        <v>10.76979561865133</v>
      </c>
      <c r="M207" s="30">
        <f t="shared" si="26"/>
        <v>43.079182474605318</v>
      </c>
      <c r="T207" s="6" t="s">
        <v>897</v>
      </c>
    </row>
    <row r="208" spans="1:20">
      <c r="E208" s="108" t="s">
        <v>338</v>
      </c>
      <c r="F208" s="83">
        <v>7</v>
      </c>
      <c r="G208" s="29" t="s">
        <v>194</v>
      </c>
      <c r="H208" s="85">
        <f t="shared" si="28"/>
        <v>1.1666666666666667</v>
      </c>
      <c r="I208" s="10" t="s">
        <v>20</v>
      </c>
      <c r="J208" s="9">
        <v>4</v>
      </c>
      <c r="K208" s="2">
        <v>0.28000000000000003</v>
      </c>
      <c r="L208" s="92">
        <f t="shared" si="29"/>
        <v>3.4267531513890592</v>
      </c>
      <c r="M208" s="30">
        <f t="shared" si="26"/>
        <v>13.707012605556237</v>
      </c>
      <c r="T208" s="6" t="s">
        <v>898</v>
      </c>
    </row>
    <row r="209" spans="1:20">
      <c r="E209" s="71" t="s">
        <v>339</v>
      </c>
      <c r="F209" s="83">
        <v>1</v>
      </c>
      <c r="G209" s="29" t="s">
        <v>340</v>
      </c>
      <c r="H209" s="85">
        <f t="shared" si="28"/>
        <v>0.16666666666666666</v>
      </c>
      <c r="I209" s="10" t="s">
        <v>347</v>
      </c>
      <c r="J209" s="9">
        <v>5</v>
      </c>
      <c r="K209" s="2">
        <v>0.2</v>
      </c>
      <c r="L209" s="92">
        <f t="shared" si="29"/>
        <v>2.4476808224207565</v>
      </c>
      <c r="M209" s="30">
        <f t="shared" si="26"/>
        <v>12.238404112103783</v>
      </c>
    </row>
    <row r="210" spans="1:20">
      <c r="E210" s="71" t="s">
        <v>341</v>
      </c>
      <c r="F210" s="83">
        <v>1.8</v>
      </c>
      <c r="G210" s="29" t="s">
        <v>194</v>
      </c>
      <c r="H210" s="85">
        <f t="shared" si="28"/>
        <v>0.3</v>
      </c>
      <c r="K210" s="2">
        <v>0</v>
      </c>
      <c r="L210" s="92">
        <f t="shared" si="29"/>
        <v>0</v>
      </c>
      <c r="M210" s="30">
        <f t="shared" si="26"/>
        <v>0</v>
      </c>
    </row>
    <row r="211" spans="1:20">
      <c r="E211" s="108" t="s">
        <v>1341</v>
      </c>
      <c r="F211" s="83">
        <v>3</v>
      </c>
      <c r="G211" s="82" t="s">
        <v>49</v>
      </c>
      <c r="H211" s="85">
        <f t="shared" si="28"/>
        <v>0.5</v>
      </c>
      <c r="I211" s="10" t="s">
        <v>899</v>
      </c>
      <c r="J211" s="9">
        <v>5</v>
      </c>
      <c r="K211" s="2">
        <v>1</v>
      </c>
      <c r="L211" s="92">
        <f t="shared" si="29"/>
        <v>12.238404112103783</v>
      </c>
      <c r="M211" s="30">
        <f t="shared" si="26"/>
        <v>61.192020560518912</v>
      </c>
      <c r="T211" s="6" t="s">
        <v>900</v>
      </c>
    </row>
    <row r="212" spans="1:20">
      <c r="E212" s="71" t="s">
        <v>342</v>
      </c>
      <c r="F212" s="83">
        <v>4</v>
      </c>
      <c r="G212" s="82" t="s">
        <v>163</v>
      </c>
      <c r="H212" s="85">
        <f t="shared" si="28"/>
        <v>0.66666666666666663</v>
      </c>
      <c r="I212" s="10" t="s">
        <v>348</v>
      </c>
      <c r="J212" s="9">
        <v>2</v>
      </c>
      <c r="K212" s="2">
        <v>0.67</v>
      </c>
      <c r="L212" s="92">
        <f t="shared" si="29"/>
        <v>8.1997307551095346</v>
      </c>
      <c r="M212" s="30">
        <f t="shared" si="26"/>
        <v>16.399461510219069</v>
      </c>
    </row>
    <row r="213" spans="1:20">
      <c r="E213" s="109" t="s">
        <v>343</v>
      </c>
      <c r="F213" s="83">
        <v>2</v>
      </c>
      <c r="G213" s="79" t="s">
        <v>160</v>
      </c>
      <c r="H213" s="85">
        <f t="shared" si="28"/>
        <v>0.33333333333333331</v>
      </c>
      <c r="I213" s="10" t="s">
        <v>18</v>
      </c>
      <c r="J213" s="9">
        <v>5</v>
      </c>
      <c r="K213" s="2">
        <v>4.1000000000000002E-2</v>
      </c>
      <c r="L213" s="92">
        <f t="shared" si="29"/>
        <v>0.50177456859625513</v>
      </c>
      <c r="M213" s="30">
        <f t="shared" si="26"/>
        <v>2.5088728429812757</v>
      </c>
    </row>
    <row r="214" spans="1:20">
      <c r="E214" s="71" t="s">
        <v>901</v>
      </c>
      <c r="F214" s="83">
        <v>6</v>
      </c>
      <c r="G214" s="79" t="s">
        <v>160</v>
      </c>
      <c r="H214" s="85">
        <f t="shared" si="28"/>
        <v>1</v>
      </c>
      <c r="I214" s="10" t="s">
        <v>270</v>
      </c>
      <c r="J214" s="9">
        <v>2</v>
      </c>
      <c r="K214" s="2">
        <v>0.5</v>
      </c>
      <c r="L214" s="92">
        <f t="shared" si="29"/>
        <v>6.1192020560518916</v>
      </c>
      <c r="M214" s="30">
        <f t="shared" si="26"/>
        <v>12.238404112103783</v>
      </c>
    </row>
    <row r="215" spans="1:20">
      <c r="E215" s="71" t="s">
        <v>345</v>
      </c>
      <c r="G215" s="79" t="s">
        <v>160</v>
      </c>
      <c r="H215" s="85">
        <v>0.5</v>
      </c>
      <c r="K215" s="2">
        <v>0</v>
      </c>
      <c r="L215" s="92">
        <f t="shared" si="29"/>
        <v>0</v>
      </c>
      <c r="M215" s="30">
        <f t="shared" si="26"/>
        <v>0</v>
      </c>
      <c r="R215" s="91">
        <v>7.5</v>
      </c>
    </row>
    <row r="216" spans="1:20">
      <c r="D216" s="6" t="s">
        <v>981</v>
      </c>
      <c r="E216" s="6" t="s">
        <v>349</v>
      </c>
      <c r="G216" s="82" t="s">
        <v>49</v>
      </c>
      <c r="H216" s="85">
        <v>2</v>
      </c>
      <c r="I216" s="10" t="s">
        <v>56</v>
      </c>
      <c r="J216" s="9">
        <v>5</v>
      </c>
      <c r="K216" s="2">
        <v>2</v>
      </c>
      <c r="L216" s="92">
        <f t="shared" si="29"/>
        <v>24.476808224207566</v>
      </c>
      <c r="M216" s="30">
        <f t="shared" si="26"/>
        <v>122.38404112103782</v>
      </c>
    </row>
    <row r="217" spans="1:20">
      <c r="E217" s="71" t="s">
        <v>344</v>
      </c>
      <c r="G217" s="79" t="s">
        <v>160</v>
      </c>
      <c r="H217" s="85">
        <v>0.5</v>
      </c>
      <c r="K217" s="2">
        <v>0</v>
      </c>
      <c r="L217" s="92">
        <f t="shared" si="29"/>
        <v>0</v>
      </c>
      <c r="M217" s="30">
        <f t="shared" si="26"/>
        <v>0</v>
      </c>
      <c r="R217" s="91">
        <v>1.875</v>
      </c>
    </row>
    <row r="218" spans="1:20">
      <c r="D218" s="6" t="s">
        <v>981</v>
      </c>
      <c r="E218" s="6" t="s">
        <v>346</v>
      </c>
      <c r="G218" s="82" t="s">
        <v>163</v>
      </c>
      <c r="H218" s="85">
        <v>1</v>
      </c>
      <c r="I218" s="10" t="s">
        <v>25</v>
      </c>
      <c r="J218" s="9">
        <v>4</v>
      </c>
      <c r="K218" s="2">
        <v>1</v>
      </c>
      <c r="L218" s="92">
        <f t="shared" si="29"/>
        <v>12.238404112103783</v>
      </c>
      <c r="M218" s="30">
        <f t="shared" si="26"/>
        <v>48.953616448415133</v>
      </c>
    </row>
    <row r="219" spans="1:20">
      <c r="E219" s="71" t="s">
        <v>345</v>
      </c>
      <c r="G219" s="29" t="s">
        <v>161</v>
      </c>
      <c r="H219" s="85">
        <v>1</v>
      </c>
      <c r="K219" s="2">
        <v>0</v>
      </c>
      <c r="L219" s="92">
        <f t="shared" si="29"/>
        <v>0</v>
      </c>
      <c r="M219" s="30">
        <f t="shared" si="26"/>
        <v>0</v>
      </c>
      <c r="R219" s="91">
        <v>5</v>
      </c>
    </row>
    <row r="220" spans="1:20" ht="17.25" thickBot="1">
      <c r="A220" s="93"/>
      <c r="B220" s="93"/>
      <c r="C220" s="72"/>
      <c r="D220" s="93"/>
      <c r="E220" s="72"/>
      <c r="F220" s="87"/>
      <c r="G220" s="37"/>
      <c r="H220" s="86"/>
      <c r="I220" s="93"/>
      <c r="J220" s="93"/>
      <c r="K220" s="97">
        <f>SUM(K206:K219)</f>
        <v>8.1709999999999994</v>
      </c>
      <c r="L220" s="94">
        <f>SUM(L206:L219)</f>
        <v>100</v>
      </c>
      <c r="M220" s="93"/>
      <c r="N220" s="94">
        <f>SUM(M206:M219)</f>
        <v>371.86390894627345</v>
      </c>
      <c r="O220" s="93"/>
      <c r="P220" s="93" t="s">
        <v>350</v>
      </c>
      <c r="Q220" s="95"/>
      <c r="R220" s="96">
        <f>SUM(R206:R219)</f>
        <v>14.375</v>
      </c>
    </row>
    <row r="221" spans="1:20">
      <c r="A221" s="6">
        <v>14</v>
      </c>
      <c r="B221" s="7" t="s">
        <v>353</v>
      </c>
      <c r="C221" s="6" t="s">
        <v>351</v>
      </c>
      <c r="D221" s="6" t="s">
        <v>981</v>
      </c>
      <c r="E221" s="71" t="s">
        <v>1342</v>
      </c>
      <c r="F221" s="83">
        <v>1.25</v>
      </c>
      <c r="G221" s="82" t="s">
        <v>49</v>
      </c>
      <c r="H221" s="85">
        <f>F221/4</f>
        <v>0.3125</v>
      </c>
      <c r="I221" s="10" t="s">
        <v>15</v>
      </c>
      <c r="J221" s="9">
        <v>2</v>
      </c>
      <c r="K221" s="2">
        <v>1.65</v>
      </c>
      <c r="L221" s="92">
        <f>K221/7.86*100</f>
        <v>20.992366412213741</v>
      </c>
      <c r="M221" s="30">
        <f t="shared" si="26"/>
        <v>41.984732824427482</v>
      </c>
      <c r="T221" s="6" t="s">
        <v>903</v>
      </c>
    </row>
    <row r="222" spans="1:20">
      <c r="E222" s="71" t="s">
        <v>354</v>
      </c>
      <c r="F222" s="83">
        <v>0.75</v>
      </c>
      <c r="G222" s="29" t="s">
        <v>161</v>
      </c>
      <c r="H222" s="85">
        <f t="shared" ref="H222:H232" si="30">F222/4</f>
        <v>0.1875</v>
      </c>
      <c r="K222" s="2">
        <v>0</v>
      </c>
      <c r="L222" s="92">
        <f t="shared" ref="L222:L233" si="31">K222/7.86*100</f>
        <v>0</v>
      </c>
      <c r="M222" s="30">
        <f t="shared" si="26"/>
        <v>0</v>
      </c>
      <c r="Q222" s="90">
        <v>0.56999999999999995</v>
      </c>
    </row>
    <row r="223" spans="1:20">
      <c r="E223" s="71" t="s">
        <v>1343</v>
      </c>
      <c r="F223" s="83">
        <v>1</v>
      </c>
      <c r="G223" s="29" t="s">
        <v>355</v>
      </c>
      <c r="H223" s="85">
        <f t="shared" si="30"/>
        <v>0.25</v>
      </c>
      <c r="I223" s="10" t="s">
        <v>364</v>
      </c>
      <c r="J223" s="9">
        <v>1</v>
      </c>
      <c r="K223" s="2">
        <v>4</v>
      </c>
      <c r="L223" s="92">
        <f t="shared" si="31"/>
        <v>50.890585241730278</v>
      </c>
      <c r="M223" s="30">
        <f t="shared" si="26"/>
        <v>50.890585241730278</v>
      </c>
    </row>
    <row r="224" spans="1:20">
      <c r="E224" s="71" t="s">
        <v>356</v>
      </c>
      <c r="F224" s="83">
        <v>1</v>
      </c>
      <c r="G224" s="29" t="s">
        <v>161</v>
      </c>
      <c r="H224" s="85">
        <f t="shared" si="30"/>
        <v>0.25</v>
      </c>
      <c r="K224" s="2">
        <v>0</v>
      </c>
      <c r="L224" s="92">
        <f t="shared" si="31"/>
        <v>0</v>
      </c>
      <c r="M224" s="30">
        <f t="shared" si="26"/>
        <v>0</v>
      </c>
    </row>
    <row r="225" spans="1:20">
      <c r="E225" s="71" t="s">
        <v>357</v>
      </c>
      <c r="F225" s="83">
        <v>2</v>
      </c>
      <c r="G225" s="79" t="s">
        <v>160</v>
      </c>
      <c r="H225" s="85">
        <f t="shared" si="30"/>
        <v>0.5</v>
      </c>
      <c r="K225" s="2">
        <v>0</v>
      </c>
      <c r="L225" s="92">
        <f t="shared" si="31"/>
        <v>0</v>
      </c>
      <c r="M225" s="30">
        <f t="shared" si="26"/>
        <v>0</v>
      </c>
      <c r="R225" s="91">
        <v>7.5</v>
      </c>
    </row>
    <row r="226" spans="1:20">
      <c r="E226" s="71" t="s">
        <v>358</v>
      </c>
      <c r="F226" s="83">
        <v>1</v>
      </c>
      <c r="G226" s="29" t="s">
        <v>340</v>
      </c>
      <c r="H226" s="85">
        <v>0.5</v>
      </c>
      <c r="I226" s="10" t="s">
        <v>23</v>
      </c>
      <c r="J226" s="9">
        <v>5</v>
      </c>
      <c r="K226" s="2">
        <v>0.5</v>
      </c>
      <c r="L226" s="92">
        <f t="shared" si="31"/>
        <v>6.3613231552162848</v>
      </c>
      <c r="M226" s="30">
        <f t="shared" si="26"/>
        <v>31.806615776081422</v>
      </c>
    </row>
    <row r="227" spans="1:20">
      <c r="E227" s="71" t="s">
        <v>359</v>
      </c>
      <c r="F227" s="83">
        <v>1</v>
      </c>
      <c r="G227" s="82" t="s">
        <v>163</v>
      </c>
      <c r="H227" s="85">
        <f t="shared" si="30"/>
        <v>0.25</v>
      </c>
      <c r="I227" s="10" t="s">
        <v>347</v>
      </c>
      <c r="J227" s="9">
        <v>5</v>
      </c>
      <c r="K227" s="2">
        <v>0.34</v>
      </c>
      <c r="L227" s="92">
        <f t="shared" si="31"/>
        <v>4.3256997455470731</v>
      </c>
      <c r="M227" s="30">
        <f t="shared" si="26"/>
        <v>21.628498727735366</v>
      </c>
    </row>
    <row r="228" spans="1:20">
      <c r="E228" s="71" t="s">
        <v>360</v>
      </c>
      <c r="F228" s="83">
        <v>1</v>
      </c>
      <c r="G228" s="82" t="s">
        <v>49</v>
      </c>
      <c r="H228" s="85">
        <f t="shared" si="30"/>
        <v>0.25</v>
      </c>
      <c r="I228" s="10" t="s">
        <v>26</v>
      </c>
      <c r="J228" s="9">
        <v>4</v>
      </c>
      <c r="K228" s="2">
        <v>0.25</v>
      </c>
      <c r="L228" s="92">
        <f t="shared" si="31"/>
        <v>3.1806615776081424</v>
      </c>
      <c r="M228" s="30">
        <f t="shared" si="26"/>
        <v>12.72264631043257</v>
      </c>
    </row>
    <row r="229" spans="1:20">
      <c r="E229" s="71" t="s">
        <v>361</v>
      </c>
      <c r="F229" s="83">
        <v>0.5</v>
      </c>
      <c r="G229" s="82" t="s">
        <v>49</v>
      </c>
      <c r="H229" s="85">
        <f t="shared" si="30"/>
        <v>0.125</v>
      </c>
      <c r="I229" s="10" t="s">
        <v>56</v>
      </c>
      <c r="J229" s="9">
        <v>5</v>
      </c>
      <c r="K229" s="2">
        <v>0.13</v>
      </c>
      <c r="L229" s="92">
        <f t="shared" si="31"/>
        <v>1.6539440203562339</v>
      </c>
      <c r="M229" s="30">
        <f t="shared" si="26"/>
        <v>8.2697201017811697</v>
      </c>
    </row>
    <row r="230" spans="1:20">
      <c r="E230" s="71" t="s">
        <v>362</v>
      </c>
      <c r="F230" s="83">
        <v>2</v>
      </c>
      <c r="G230" s="29" t="s">
        <v>161</v>
      </c>
      <c r="H230" s="85">
        <f t="shared" si="30"/>
        <v>0.5</v>
      </c>
      <c r="I230" s="10" t="s">
        <v>18</v>
      </c>
      <c r="J230" s="9">
        <v>5</v>
      </c>
      <c r="K230" s="2">
        <v>0.01</v>
      </c>
      <c r="L230" s="92">
        <f t="shared" si="31"/>
        <v>0.1272264631043257</v>
      </c>
      <c r="M230" s="30">
        <f t="shared" si="26"/>
        <v>0.63613231552162852</v>
      </c>
    </row>
    <row r="231" spans="1:20">
      <c r="E231" s="71" t="s">
        <v>343</v>
      </c>
      <c r="F231" s="83">
        <v>2</v>
      </c>
      <c r="G231" s="79" t="s">
        <v>160</v>
      </c>
      <c r="H231" s="85">
        <f t="shared" si="30"/>
        <v>0.5</v>
      </c>
      <c r="I231" s="10" t="s">
        <v>365</v>
      </c>
      <c r="J231" s="9">
        <v>5</v>
      </c>
      <c r="K231" s="2">
        <v>0.06</v>
      </c>
      <c r="L231" s="92">
        <f t="shared" si="31"/>
        <v>0.76335877862595414</v>
      </c>
      <c r="M231" s="30">
        <f t="shared" si="26"/>
        <v>3.8167938931297707</v>
      </c>
    </row>
    <row r="232" spans="1:20">
      <c r="E232" s="108" t="s">
        <v>363</v>
      </c>
      <c r="F232" s="83">
        <v>0.25</v>
      </c>
      <c r="G232" s="82" t="s">
        <v>49</v>
      </c>
      <c r="H232" s="85">
        <f t="shared" si="30"/>
        <v>6.25E-2</v>
      </c>
      <c r="I232" s="10" t="s">
        <v>20</v>
      </c>
      <c r="J232" s="9">
        <v>4</v>
      </c>
      <c r="K232" s="2">
        <v>0.12</v>
      </c>
      <c r="L232" s="92">
        <f t="shared" si="31"/>
        <v>1.5267175572519083</v>
      </c>
      <c r="M232" s="30">
        <f t="shared" si="26"/>
        <v>6.1068702290076331</v>
      </c>
      <c r="T232" s="6" t="s">
        <v>898</v>
      </c>
    </row>
    <row r="233" spans="1:20">
      <c r="C233" s="6" t="s">
        <v>352</v>
      </c>
      <c r="G233" s="82" t="s">
        <v>49</v>
      </c>
      <c r="H233" s="85">
        <v>1</v>
      </c>
      <c r="I233" s="10" t="s">
        <v>18</v>
      </c>
      <c r="J233" s="9">
        <v>5</v>
      </c>
      <c r="K233" s="2">
        <v>0.8</v>
      </c>
      <c r="L233" s="92">
        <f t="shared" si="31"/>
        <v>10.178117048346056</v>
      </c>
      <c r="M233" s="30">
        <f t="shared" si="26"/>
        <v>50.890585241730278</v>
      </c>
    </row>
    <row r="234" spans="1:20" ht="17.25" thickBot="1">
      <c r="A234" s="93"/>
      <c r="B234" s="93"/>
      <c r="C234" s="72"/>
      <c r="D234" s="93"/>
      <c r="E234" s="72"/>
      <c r="F234" s="87"/>
      <c r="G234" s="37"/>
      <c r="H234" s="86"/>
      <c r="I234" s="93"/>
      <c r="J234" s="93"/>
      <c r="K234" s="97">
        <f>SUM(K221:K233)</f>
        <v>7.8599999999999994</v>
      </c>
      <c r="L234" s="94">
        <f>SUM(L221:L233)</f>
        <v>100</v>
      </c>
      <c r="M234" s="93"/>
      <c r="N234" s="94">
        <f>SUM(M221:M233)</f>
        <v>228.75318066157757</v>
      </c>
      <c r="O234" s="93"/>
      <c r="P234" s="93" t="s">
        <v>366</v>
      </c>
      <c r="Q234" s="95">
        <f>SUM(Q221:Q233)</f>
        <v>0.56999999999999995</v>
      </c>
      <c r="R234" s="96">
        <f>SUM(R221:R233)</f>
        <v>7.5</v>
      </c>
    </row>
    <row r="235" spans="1:20">
      <c r="A235" s="6">
        <v>15</v>
      </c>
      <c r="B235" s="7" t="s">
        <v>367</v>
      </c>
      <c r="C235" s="6" t="s">
        <v>368</v>
      </c>
      <c r="D235" s="6" t="s">
        <v>981</v>
      </c>
      <c r="E235" s="71" t="s">
        <v>1344</v>
      </c>
      <c r="G235" s="79" t="s">
        <v>160</v>
      </c>
      <c r="H235" s="85">
        <v>1.5</v>
      </c>
      <c r="I235" s="10" t="s">
        <v>376</v>
      </c>
      <c r="J235" s="9">
        <v>2</v>
      </c>
      <c r="K235" s="2">
        <v>1.5</v>
      </c>
      <c r="L235" s="92">
        <f>K235/12.81*100</f>
        <v>11.709601873536299</v>
      </c>
      <c r="M235" s="30">
        <f t="shared" si="26"/>
        <v>23.419203747072597</v>
      </c>
    </row>
    <row r="236" spans="1:20">
      <c r="E236" s="71" t="s">
        <v>343</v>
      </c>
      <c r="G236" s="79" t="s">
        <v>160</v>
      </c>
      <c r="H236" s="85">
        <v>1.5</v>
      </c>
      <c r="I236" s="10" t="s">
        <v>18</v>
      </c>
      <c r="J236" s="9">
        <v>5</v>
      </c>
      <c r="K236" s="2">
        <v>0.18</v>
      </c>
      <c r="L236" s="92">
        <f t="shared" ref="L236:L245" si="32">K236/12.81*100</f>
        <v>1.4051522248243558</v>
      </c>
      <c r="M236" s="30">
        <f t="shared" si="26"/>
        <v>7.0257611241217788</v>
      </c>
    </row>
    <row r="237" spans="1:20">
      <c r="E237" s="71" t="s">
        <v>370</v>
      </c>
      <c r="G237" s="29" t="s">
        <v>194</v>
      </c>
      <c r="H237" s="85">
        <v>5</v>
      </c>
      <c r="I237" s="10" t="s">
        <v>21</v>
      </c>
      <c r="J237" s="9">
        <v>4</v>
      </c>
      <c r="K237" s="2">
        <v>5</v>
      </c>
      <c r="L237" s="92">
        <f t="shared" si="32"/>
        <v>39.032006245120996</v>
      </c>
      <c r="M237" s="30">
        <f t="shared" si="26"/>
        <v>156.12802498048399</v>
      </c>
    </row>
    <row r="238" spans="1:20">
      <c r="E238" s="5" t="s">
        <v>371</v>
      </c>
      <c r="G238" s="82" t="s">
        <v>163</v>
      </c>
      <c r="H238" s="85">
        <v>4</v>
      </c>
      <c r="I238" s="10" t="s">
        <v>746</v>
      </c>
      <c r="J238" s="9">
        <v>2</v>
      </c>
      <c r="K238" s="2">
        <v>0.5</v>
      </c>
      <c r="L238" s="92">
        <f t="shared" si="32"/>
        <v>3.9032006245121003</v>
      </c>
      <c r="M238" s="30">
        <f t="shared" si="26"/>
        <v>7.8064012490242005</v>
      </c>
    </row>
    <row r="239" spans="1:20">
      <c r="E239" s="71" t="s">
        <v>372</v>
      </c>
      <c r="G239" s="79" t="s">
        <v>160</v>
      </c>
      <c r="H239" s="85">
        <v>2</v>
      </c>
      <c r="I239" s="10" t="s">
        <v>377</v>
      </c>
      <c r="J239" s="9">
        <v>2</v>
      </c>
      <c r="K239" s="2">
        <v>1</v>
      </c>
      <c r="L239" s="92">
        <f t="shared" si="32"/>
        <v>7.8064012490242005</v>
      </c>
      <c r="M239" s="30">
        <f t="shared" si="26"/>
        <v>15.612802498048401</v>
      </c>
    </row>
    <row r="240" spans="1:20">
      <c r="E240" s="71" t="s">
        <v>373</v>
      </c>
      <c r="G240" s="79" t="s">
        <v>160</v>
      </c>
      <c r="H240" s="85">
        <v>2</v>
      </c>
      <c r="I240" s="10" t="s">
        <v>56</v>
      </c>
      <c r="J240" s="9">
        <v>5</v>
      </c>
      <c r="K240" s="2">
        <v>0.125</v>
      </c>
      <c r="L240" s="92">
        <f t="shared" si="32"/>
        <v>0.97580015612802506</v>
      </c>
      <c r="M240" s="30">
        <f t="shared" si="26"/>
        <v>4.8790007806401254</v>
      </c>
    </row>
    <row r="241" spans="1:20">
      <c r="E241" s="71" t="s">
        <v>374</v>
      </c>
      <c r="G241" s="82" t="s">
        <v>49</v>
      </c>
      <c r="H241" s="85">
        <v>2</v>
      </c>
      <c r="I241" s="10" t="s">
        <v>56</v>
      </c>
      <c r="J241" s="9">
        <v>5</v>
      </c>
      <c r="K241" s="2">
        <v>2</v>
      </c>
      <c r="L241" s="92">
        <f t="shared" si="32"/>
        <v>15.612802498048401</v>
      </c>
      <c r="M241" s="30">
        <f t="shared" si="26"/>
        <v>78.064012490242007</v>
      </c>
    </row>
    <row r="242" spans="1:20">
      <c r="E242" s="71" t="s">
        <v>375</v>
      </c>
      <c r="G242" s="82" t="s">
        <v>163</v>
      </c>
      <c r="H242" s="85">
        <v>1</v>
      </c>
      <c r="I242" s="10" t="s">
        <v>18</v>
      </c>
      <c r="J242" s="9">
        <v>5</v>
      </c>
      <c r="K242" s="2">
        <v>1</v>
      </c>
      <c r="L242" s="92">
        <f t="shared" si="32"/>
        <v>7.8064012490242005</v>
      </c>
      <c r="M242" s="30">
        <f t="shared" si="26"/>
        <v>39.032006245121003</v>
      </c>
    </row>
    <row r="243" spans="1:20">
      <c r="C243" s="6" t="s">
        <v>369</v>
      </c>
      <c r="D243" s="6" t="s">
        <v>981</v>
      </c>
      <c r="E243" s="108" t="s">
        <v>378</v>
      </c>
      <c r="G243" s="82" t="s">
        <v>163</v>
      </c>
      <c r="H243" s="85">
        <v>1</v>
      </c>
      <c r="I243" s="10" t="s">
        <v>25</v>
      </c>
      <c r="J243" s="9">
        <v>4</v>
      </c>
      <c r="K243" s="2">
        <v>1</v>
      </c>
      <c r="L243" s="92">
        <f t="shared" si="32"/>
        <v>7.8064012490242005</v>
      </c>
      <c r="M243" s="30">
        <f t="shared" si="26"/>
        <v>31.225604996096802</v>
      </c>
      <c r="T243" s="6" t="s">
        <v>895</v>
      </c>
    </row>
    <row r="244" spans="1:20">
      <c r="C244" s="6"/>
      <c r="E244" s="74" t="s">
        <v>345</v>
      </c>
      <c r="G244" s="29" t="s">
        <v>161</v>
      </c>
      <c r="H244" s="85">
        <v>1</v>
      </c>
      <c r="I244" s="10"/>
      <c r="J244" s="9"/>
      <c r="K244" s="2">
        <v>0</v>
      </c>
      <c r="L244" s="92">
        <f t="shared" si="32"/>
        <v>0</v>
      </c>
      <c r="M244" s="30">
        <f t="shared" si="26"/>
        <v>0</v>
      </c>
      <c r="R244" s="91">
        <v>5</v>
      </c>
    </row>
    <row r="245" spans="1:20">
      <c r="C245" s="6" t="s">
        <v>1335</v>
      </c>
      <c r="G245" s="82" t="s">
        <v>163</v>
      </c>
      <c r="H245" s="85">
        <v>1</v>
      </c>
      <c r="I245" s="10" t="s">
        <v>18</v>
      </c>
      <c r="J245" s="9">
        <v>5</v>
      </c>
      <c r="K245" s="2">
        <v>0.5</v>
      </c>
      <c r="L245" s="92">
        <f t="shared" si="32"/>
        <v>3.9032006245121003</v>
      </c>
      <c r="M245" s="30">
        <f t="shared" si="26"/>
        <v>19.516003122560502</v>
      </c>
    </row>
    <row r="246" spans="1:20" ht="17.25" thickBot="1">
      <c r="A246" s="93"/>
      <c r="B246" s="93"/>
      <c r="C246" s="72"/>
      <c r="D246" s="93"/>
      <c r="E246" s="72"/>
      <c r="F246" s="87"/>
      <c r="G246" s="37"/>
      <c r="H246" s="86"/>
      <c r="I246" s="93"/>
      <c r="J246" s="93"/>
      <c r="K246" s="97">
        <f>SUM(K235:K245)</f>
        <v>12.805</v>
      </c>
      <c r="L246" s="94">
        <f>SUM(L235:L245)</f>
        <v>99.960967993754878</v>
      </c>
      <c r="M246" s="93"/>
      <c r="N246" s="94">
        <f>SUM(M235:M245)</f>
        <v>382.70882123341141</v>
      </c>
      <c r="O246" s="93"/>
      <c r="P246" s="93" t="s">
        <v>350</v>
      </c>
      <c r="Q246" s="95"/>
      <c r="R246" s="96">
        <f>SUM(R235:R245)</f>
        <v>5</v>
      </c>
    </row>
    <row r="247" spans="1:20">
      <c r="A247" s="6">
        <v>16</v>
      </c>
      <c r="B247" s="7" t="s">
        <v>380</v>
      </c>
      <c r="C247" s="6" t="s">
        <v>1336</v>
      </c>
      <c r="D247" s="6" t="s">
        <v>981</v>
      </c>
      <c r="E247" s="71" t="s">
        <v>381</v>
      </c>
      <c r="F247" s="83">
        <v>12</v>
      </c>
      <c r="G247" s="29" t="s">
        <v>194</v>
      </c>
      <c r="H247" s="85">
        <f>F247/2</f>
        <v>6</v>
      </c>
      <c r="I247" s="10" t="s">
        <v>385</v>
      </c>
      <c r="J247" s="9">
        <v>3</v>
      </c>
      <c r="K247" s="2">
        <v>6</v>
      </c>
      <c r="L247" s="92">
        <f>K247/11.333*100</f>
        <v>52.942733609812052</v>
      </c>
      <c r="M247" s="30">
        <f t="shared" si="26"/>
        <v>158.82820082943616</v>
      </c>
    </row>
    <row r="248" spans="1:20">
      <c r="E248" s="71" t="s">
        <v>1345</v>
      </c>
      <c r="F248" s="83">
        <v>2</v>
      </c>
      <c r="G248" s="82" t="s">
        <v>163</v>
      </c>
      <c r="H248" s="85">
        <f t="shared" ref="H248:H253" si="33">F248/2</f>
        <v>1</v>
      </c>
      <c r="I248" s="10" t="s">
        <v>114</v>
      </c>
      <c r="J248" s="9">
        <v>1</v>
      </c>
      <c r="K248" s="2">
        <v>1</v>
      </c>
      <c r="L248" s="92">
        <f t="shared" ref="L248:L255" si="34">K248/11.333*100</f>
        <v>8.8237889349686753</v>
      </c>
      <c r="M248" s="30">
        <f t="shared" si="26"/>
        <v>8.8237889349686753</v>
      </c>
    </row>
    <row r="249" spans="1:20">
      <c r="E249" s="71" t="s">
        <v>382</v>
      </c>
      <c r="F249" s="83">
        <v>4</v>
      </c>
      <c r="G249" s="82" t="s">
        <v>163</v>
      </c>
      <c r="H249" s="85">
        <f t="shared" si="33"/>
        <v>2</v>
      </c>
      <c r="K249" s="2">
        <v>0</v>
      </c>
      <c r="L249" s="92">
        <f t="shared" si="34"/>
        <v>0</v>
      </c>
      <c r="M249" s="30">
        <f t="shared" si="26"/>
        <v>0</v>
      </c>
    </row>
    <row r="250" spans="1:20">
      <c r="E250" s="71" t="s">
        <v>383</v>
      </c>
      <c r="F250" s="83">
        <v>1.5</v>
      </c>
      <c r="G250" s="29" t="s">
        <v>161</v>
      </c>
      <c r="H250" s="85">
        <f t="shared" si="33"/>
        <v>0.75</v>
      </c>
      <c r="I250" s="10" t="s">
        <v>15</v>
      </c>
      <c r="J250" s="9">
        <v>2</v>
      </c>
      <c r="K250" s="2">
        <v>8.3000000000000004E-2</v>
      </c>
      <c r="L250" s="92">
        <f t="shared" si="34"/>
        <v>0.73237448160240015</v>
      </c>
      <c r="M250" s="30">
        <f t="shared" si="26"/>
        <v>1.4647489632048003</v>
      </c>
    </row>
    <row r="251" spans="1:20">
      <c r="E251" s="71" t="s">
        <v>384</v>
      </c>
      <c r="F251" s="83">
        <v>1</v>
      </c>
      <c r="G251" s="79" t="s">
        <v>160</v>
      </c>
      <c r="H251" s="85">
        <f t="shared" si="33"/>
        <v>0.5</v>
      </c>
      <c r="K251" s="2">
        <v>0</v>
      </c>
      <c r="L251" s="92">
        <f t="shared" si="34"/>
        <v>0</v>
      </c>
      <c r="M251" s="30">
        <f t="shared" si="26"/>
        <v>0</v>
      </c>
      <c r="R251" s="91">
        <v>2.5</v>
      </c>
    </row>
    <row r="252" spans="1:20">
      <c r="E252" s="71" t="s">
        <v>345</v>
      </c>
      <c r="F252" s="83">
        <v>2</v>
      </c>
      <c r="G252" s="29" t="s">
        <v>161</v>
      </c>
      <c r="H252" s="85">
        <f t="shared" si="33"/>
        <v>1</v>
      </c>
      <c r="K252" s="2">
        <v>0</v>
      </c>
      <c r="L252" s="92">
        <f t="shared" si="34"/>
        <v>0</v>
      </c>
      <c r="M252" s="30">
        <f t="shared" si="26"/>
        <v>0</v>
      </c>
      <c r="R252" s="91">
        <v>5</v>
      </c>
    </row>
    <row r="253" spans="1:20">
      <c r="E253" s="71" t="s">
        <v>1346</v>
      </c>
      <c r="F253" s="83">
        <v>0.75</v>
      </c>
      <c r="G253" s="82" t="s">
        <v>49</v>
      </c>
      <c r="H253" s="85">
        <f t="shared" si="33"/>
        <v>0.375</v>
      </c>
      <c r="K253" s="2">
        <v>0</v>
      </c>
      <c r="L253" s="92">
        <f t="shared" si="34"/>
        <v>0</v>
      </c>
      <c r="M253" s="30">
        <f t="shared" si="26"/>
        <v>0</v>
      </c>
    </row>
    <row r="254" spans="1:20">
      <c r="C254" s="155" t="s">
        <v>1337</v>
      </c>
      <c r="G254" s="82" t="s">
        <v>49</v>
      </c>
      <c r="H254" s="85">
        <v>0.75</v>
      </c>
      <c r="I254" s="10" t="s">
        <v>386</v>
      </c>
      <c r="J254" s="9">
        <v>4</v>
      </c>
      <c r="K254" s="2">
        <v>2.25</v>
      </c>
      <c r="L254" s="92">
        <f t="shared" si="34"/>
        <v>19.85352510367952</v>
      </c>
      <c r="M254" s="30">
        <f t="shared" si="26"/>
        <v>79.414100414718078</v>
      </c>
      <c r="T254" s="6" t="s">
        <v>904</v>
      </c>
    </row>
    <row r="255" spans="1:20">
      <c r="C255" s="6" t="s">
        <v>379</v>
      </c>
      <c r="G255" s="82" t="s">
        <v>49</v>
      </c>
      <c r="H255" s="85">
        <v>1</v>
      </c>
      <c r="I255" s="10" t="s">
        <v>22</v>
      </c>
      <c r="J255" s="9">
        <v>5</v>
      </c>
      <c r="K255" s="2">
        <v>2</v>
      </c>
      <c r="L255" s="92">
        <f t="shared" si="34"/>
        <v>17.647577869937351</v>
      </c>
      <c r="M255" s="30">
        <f t="shared" si="26"/>
        <v>88.237889349686753</v>
      </c>
    </row>
    <row r="256" spans="1:20" ht="17.25" thickBot="1">
      <c r="A256" s="93"/>
      <c r="B256" s="93"/>
      <c r="C256" s="72"/>
      <c r="D256" s="93"/>
      <c r="E256" s="72"/>
      <c r="F256" s="87"/>
      <c r="G256" s="37"/>
      <c r="H256" s="86"/>
      <c r="I256" s="93"/>
      <c r="J256" s="93"/>
      <c r="K256" s="97">
        <f>SUM(K247:K255)</f>
        <v>11.333</v>
      </c>
      <c r="L256" s="94">
        <f>SUM(L247:L255)</f>
        <v>100</v>
      </c>
      <c r="M256" s="93"/>
      <c r="N256" s="94">
        <f>SUM(M247:M255)</f>
        <v>336.76872849201447</v>
      </c>
      <c r="O256" s="93"/>
      <c r="P256" s="93" t="s">
        <v>350</v>
      </c>
      <c r="Q256" s="95"/>
      <c r="R256" s="96">
        <f>SUM(R247:R255)</f>
        <v>7.5</v>
      </c>
    </row>
    <row r="257" spans="1:20">
      <c r="A257" s="6">
        <v>17</v>
      </c>
      <c r="B257" s="7" t="s">
        <v>387</v>
      </c>
      <c r="C257" s="6" t="s">
        <v>1338</v>
      </c>
      <c r="D257" s="6" t="s">
        <v>981</v>
      </c>
      <c r="E257" s="71" t="s">
        <v>345</v>
      </c>
      <c r="F257" s="83">
        <v>6</v>
      </c>
      <c r="G257" s="79" t="s">
        <v>160</v>
      </c>
      <c r="H257" s="85">
        <f>F257/4</f>
        <v>1.5</v>
      </c>
      <c r="K257" s="2">
        <v>0</v>
      </c>
      <c r="L257" s="92">
        <f>K257/5.77*100</f>
        <v>0</v>
      </c>
      <c r="M257" s="30">
        <f t="shared" si="26"/>
        <v>0</v>
      </c>
      <c r="R257" s="91">
        <v>22.5</v>
      </c>
    </row>
    <row r="258" spans="1:20">
      <c r="E258" s="108" t="s">
        <v>388</v>
      </c>
      <c r="F258" s="83">
        <v>2</v>
      </c>
      <c r="G258" s="79" t="s">
        <v>160</v>
      </c>
      <c r="H258" s="85">
        <f t="shared" ref="H258:H280" si="35">F258/4</f>
        <v>0.5</v>
      </c>
      <c r="I258" s="10" t="s">
        <v>56</v>
      </c>
      <c r="J258" s="9">
        <v>5</v>
      </c>
      <c r="K258" s="2">
        <v>0.03</v>
      </c>
      <c r="L258" s="92">
        <f t="shared" ref="L258:L269" si="36">K258/5.77*100</f>
        <v>0.51993067590987874</v>
      </c>
      <c r="M258" s="30">
        <f t="shared" si="26"/>
        <v>2.5996533795493937</v>
      </c>
      <c r="T258" s="6" t="s">
        <v>905</v>
      </c>
    </row>
    <row r="259" spans="1:20">
      <c r="E259" s="71" t="s">
        <v>343</v>
      </c>
      <c r="F259" s="83">
        <v>2</v>
      </c>
      <c r="G259" s="79" t="s">
        <v>160</v>
      </c>
      <c r="H259" s="85">
        <f t="shared" si="35"/>
        <v>0.5</v>
      </c>
      <c r="I259" s="10" t="s">
        <v>18</v>
      </c>
      <c r="J259" s="9">
        <v>5</v>
      </c>
      <c r="K259" s="2">
        <v>0.06</v>
      </c>
      <c r="L259" s="92">
        <f t="shared" si="36"/>
        <v>1.0398613518197575</v>
      </c>
      <c r="M259" s="30">
        <f t="shared" si="26"/>
        <v>5.1993067590987874</v>
      </c>
    </row>
    <row r="260" spans="1:20">
      <c r="E260" s="71" t="s">
        <v>389</v>
      </c>
      <c r="F260" s="83">
        <v>1</v>
      </c>
      <c r="G260" s="79" t="s">
        <v>160</v>
      </c>
      <c r="H260" s="85">
        <f t="shared" si="35"/>
        <v>0.25</v>
      </c>
      <c r="I260" s="10" t="s">
        <v>56</v>
      </c>
      <c r="J260" s="9">
        <v>5</v>
      </c>
      <c r="K260" s="2">
        <v>1.4999999999999999E-2</v>
      </c>
      <c r="L260" s="92">
        <f t="shared" si="36"/>
        <v>0.25996533795493937</v>
      </c>
      <c r="M260" s="30">
        <f t="shared" ref="M260:M269" si="37">L260*J260</f>
        <v>1.2998266897746968</v>
      </c>
    </row>
    <row r="261" spans="1:20">
      <c r="E261" s="108" t="s">
        <v>390</v>
      </c>
      <c r="F261" s="83">
        <v>1</v>
      </c>
      <c r="G261" s="79" t="s">
        <v>160</v>
      </c>
      <c r="H261" s="85">
        <f t="shared" si="35"/>
        <v>0.25</v>
      </c>
      <c r="I261" s="10" t="s">
        <v>398</v>
      </c>
      <c r="J261" s="9">
        <v>5</v>
      </c>
      <c r="K261" s="2">
        <v>1.4999999999999999E-2</v>
      </c>
      <c r="L261" s="92">
        <f t="shared" si="36"/>
        <v>0.25996533795493937</v>
      </c>
      <c r="M261" s="30">
        <f t="shared" si="37"/>
        <v>1.2998266897746968</v>
      </c>
      <c r="T261" s="6" t="s">
        <v>906</v>
      </c>
    </row>
    <row r="262" spans="1:20">
      <c r="E262" s="5" t="s">
        <v>391</v>
      </c>
      <c r="F262" s="83">
        <v>1</v>
      </c>
      <c r="G262" s="82" t="s">
        <v>163</v>
      </c>
      <c r="H262" s="85">
        <f t="shared" si="35"/>
        <v>0.25</v>
      </c>
      <c r="I262" s="10" t="s">
        <v>399</v>
      </c>
      <c r="J262" s="9">
        <v>5</v>
      </c>
      <c r="K262" s="2">
        <v>0.25</v>
      </c>
      <c r="L262" s="92">
        <f t="shared" si="36"/>
        <v>4.3327556325823222</v>
      </c>
      <c r="M262" s="30">
        <f t="shared" si="37"/>
        <v>21.663778162911612</v>
      </c>
    </row>
    <row r="263" spans="1:20">
      <c r="E263" s="71" t="s">
        <v>392</v>
      </c>
      <c r="F263" s="83">
        <v>0.5</v>
      </c>
      <c r="G263" s="29" t="s">
        <v>161</v>
      </c>
      <c r="H263" s="85">
        <f t="shared" si="35"/>
        <v>0.125</v>
      </c>
      <c r="K263" s="2">
        <v>0</v>
      </c>
      <c r="L263" s="92">
        <f t="shared" si="36"/>
        <v>0</v>
      </c>
      <c r="M263" s="30">
        <f t="shared" si="37"/>
        <v>0</v>
      </c>
      <c r="Q263" s="90">
        <v>0.39</v>
      </c>
    </row>
    <row r="264" spans="1:20">
      <c r="E264" s="71" t="s">
        <v>393</v>
      </c>
      <c r="F264" s="83">
        <v>4</v>
      </c>
      <c r="G264" s="82" t="s">
        <v>163</v>
      </c>
      <c r="H264" s="85">
        <f t="shared" si="35"/>
        <v>1</v>
      </c>
      <c r="I264" s="10" t="s">
        <v>26</v>
      </c>
      <c r="J264" s="9">
        <v>4</v>
      </c>
      <c r="K264" s="2">
        <v>0.1</v>
      </c>
      <c r="L264" s="92">
        <f t="shared" si="36"/>
        <v>1.7331022530329292</v>
      </c>
      <c r="M264" s="30">
        <f t="shared" si="37"/>
        <v>6.9324090121317168</v>
      </c>
    </row>
    <row r="265" spans="1:20">
      <c r="E265" s="71" t="s">
        <v>394</v>
      </c>
      <c r="F265" s="83">
        <v>1</v>
      </c>
      <c r="G265" s="82" t="s">
        <v>163</v>
      </c>
      <c r="H265" s="85">
        <f t="shared" si="35"/>
        <v>0.25</v>
      </c>
      <c r="I265" s="10" t="s">
        <v>23</v>
      </c>
      <c r="J265" s="9">
        <v>5</v>
      </c>
      <c r="K265" s="2">
        <v>0.5</v>
      </c>
      <c r="L265" s="92">
        <f t="shared" si="36"/>
        <v>8.6655112651646444</v>
      </c>
      <c r="M265" s="30">
        <f t="shared" si="37"/>
        <v>43.327556325823224</v>
      </c>
    </row>
    <row r="266" spans="1:20">
      <c r="E266" s="71" t="s">
        <v>395</v>
      </c>
      <c r="F266" s="83">
        <v>1</v>
      </c>
      <c r="G266" s="82" t="s">
        <v>163</v>
      </c>
      <c r="H266" s="85">
        <f t="shared" si="35"/>
        <v>0.25</v>
      </c>
      <c r="I266" s="10" t="s">
        <v>23</v>
      </c>
      <c r="J266" s="9">
        <v>5</v>
      </c>
      <c r="K266" s="2">
        <v>1.2</v>
      </c>
      <c r="L266" s="92">
        <f t="shared" si="36"/>
        <v>20.797227036395149</v>
      </c>
      <c r="M266" s="30">
        <f t="shared" si="37"/>
        <v>103.98613518197575</v>
      </c>
    </row>
    <row r="267" spans="1:20">
      <c r="E267" s="111" t="s">
        <v>396</v>
      </c>
      <c r="F267" s="83">
        <v>18</v>
      </c>
      <c r="G267" s="29" t="s">
        <v>194</v>
      </c>
      <c r="H267" s="85">
        <f t="shared" si="35"/>
        <v>4.5</v>
      </c>
      <c r="I267" s="10" t="s">
        <v>15</v>
      </c>
      <c r="J267" s="9">
        <v>2</v>
      </c>
      <c r="K267" s="2">
        <v>1.68</v>
      </c>
      <c r="L267" s="92">
        <f t="shared" si="36"/>
        <v>29.116117850953206</v>
      </c>
      <c r="M267" s="30">
        <f t="shared" si="37"/>
        <v>58.232235701906411</v>
      </c>
    </row>
    <row r="268" spans="1:20" ht="17.25" customHeight="1">
      <c r="E268" s="71" t="s">
        <v>397</v>
      </c>
      <c r="F268" s="83">
        <v>15</v>
      </c>
      <c r="G268" s="29" t="s">
        <v>194</v>
      </c>
      <c r="H268" s="85">
        <f t="shared" si="35"/>
        <v>3.75</v>
      </c>
      <c r="I268" s="10" t="s">
        <v>20</v>
      </c>
      <c r="J268" s="9">
        <v>4</v>
      </c>
      <c r="K268" s="2">
        <v>0.92</v>
      </c>
      <c r="L268" s="92">
        <f t="shared" si="36"/>
        <v>15.944540727902949</v>
      </c>
      <c r="M268" s="30">
        <f t="shared" si="37"/>
        <v>63.778162911611794</v>
      </c>
      <c r="T268" s="6" t="s">
        <v>898</v>
      </c>
    </row>
    <row r="269" spans="1:20">
      <c r="C269" s="71" t="s">
        <v>400</v>
      </c>
      <c r="D269" s="6" t="s">
        <v>981</v>
      </c>
      <c r="E269" s="71" t="s">
        <v>401</v>
      </c>
      <c r="G269" s="82" t="s">
        <v>163</v>
      </c>
      <c r="H269" s="85">
        <v>2</v>
      </c>
      <c r="I269" s="10" t="s">
        <v>18</v>
      </c>
      <c r="J269" s="9">
        <v>5</v>
      </c>
      <c r="K269" s="2">
        <v>1</v>
      </c>
      <c r="L269" s="92">
        <f t="shared" si="36"/>
        <v>17.331022530329289</v>
      </c>
      <c r="M269" s="30">
        <f t="shared" si="37"/>
        <v>86.655112651646448</v>
      </c>
    </row>
    <row r="270" spans="1:20" ht="17.25" thickBot="1">
      <c r="A270" s="93"/>
      <c r="B270" s="93"/>
      <c r="C270" s="72"/>
      <c r="D270" s="93"/>
      <c r="E270" s="72"/>
      <c r="F270" s="87"/>
      <c r="G270" s="112"/>
      <c r="H270" s="86"/>
      <c r="I270" s="93"/>
      <c r="J270" s="93"/>
      <c r="K270" s="97">
        <f>SUM(K257:K269)</f>
        <v>5.77</v>
      </c>
      <c r="L270" s="94">
        <f>SUM(L257:L269)</f>
        <v>100</v>
      </c>
      <c r="M270" s="93"/>
      <c r="N270" s="94">
        <f>SUM(M257:M269)</f>
        <v>394.97400346620452</v>
      </c>
      <c r="O270" s="93" t="s">
        <v>402</v>
      </c>
      <c r="P270" s="93" t="s">
        <v>403</v>
      </c>
      <c r="Q270" s="95">
        <f>SUM(Q257:Q269)</f>
        <v>0.39</v>
      </c>
      <c r="R270" s="96">
        <f>SUM(R257:R269)</f>
        <v>22.5</v>
      </c>
    </row>
    <row r="271" spans="1:20">
      <c r="A271" s="6">
        <v>18</v>
      </c>
      <c r="B271" s="7" t="s">
        <v>410</v>
      </c>
      <c r="C271" s="6" t="s">
        <v>404</v>
      </c>
      <c r="D271" s="6" t="s">
        <v>981</v>
      </c>
      <c r="E271" s="108" t="s">
        <v>411</v>
      </c>
      <c r="F271" s="83">
        <v>8</v>
      </c>
      <c r="G271" s="29" t="s">
        <v>194</v>
      </c>
      <c r="H271" s="85">
        <f t="shared" si="35"/>
        <v>2</v>
      </c>
      <c r="I271" s="10" t="s">
        <v>386</v>
      </c>
      <c r="J271" s="9">
        <v>4</v>
      </c>
      <c r="K271" s="2">
        <v>3</v>
      </c>
      <c r="L271" s="92">
        <f>K271/6.29*100</f>
        <v>47.694753577106518</v>
      </c>
      <c r="M271" s="30">
        <f t="shared" ref="M271:M307" si="38">L271*J271</f>
        <v>190.77901430842607</v>
      </c>
      <c r="T271" s="6" t="s">
        <v>904</v>
      </c>
    </row>
    <row r="272" spans="1:20">
      <c r="E272" s="71" t="s">
        <v>345</v>
      </c>
      <c r="F272" s="83">
        <v>1</v>
      </c>
      <c r="G272" s="79" t="s">
        <v>160</v>
      </c>
      <c r="H272" s="85">
        <f t="shared" si="35"/>
        <v>0.25</v>
      </c>
      <c r="K272" s="2">
        <v>0</v>
      </c>
      <c r="L272" s="92">
        <f t="shared" ref="L272:L282" si="39">K272/6.29*100</f>
        <v>0</v>
      </c>
      <c r="M272" s="30">
        <f t="shared" si="38"/>
        <v>0</v>
      </c>
      <c r="R272" s="91">
        <v>3.75</v>
      </c>
    </row>
    <row r="273" spans="1:20">
      <c r="E273" s="71" t="s">
        <v>412</v>
      </c>
      <c r="F273" s="83">
        <v>4</v>
      </c>
      <c r="G273" s="82" t="s">
        <v>49</v>
      </c>
      <c r="H273" s="85">
        <f t="shared" si="35"/>
        <v>1</v>
      </c>
      <c r="I273" s="10" t="s">
        <v>22</v>
      </c>
      <c r="J273" s="9">
        <v>5</v>
      </c>
      <c r="K273" s="2">
        <v>1</v>
      </c>
      <c r="L273" s="92">
        <f t="shared" si="39"/>
        <v>15.898251192368839</v>
      </c>
      <c r="M273" s="30">
        <f t="shared" si="38"/>
        <v>79.491255961844189</v>
      </c>
      <c r="T273" s="6" t="s">
        <v>907</v>
      </c>
    </row>
    <row r="274" spans="1:20">
      <c r="E274" s="71" t="s">
        <v>1347</v>
      </c>
      <c r="F274" s="83">
        <v>0.25</v>
      </c>
      <c r="G274" s="82" t="s">
        <v>49</v>
      </c>
      <c r="H274" s="85">
        <f t="shared" si="35"/>
        <v>6.25E-2</v>
      </c>
      <c r="I274" s="10" t="s">
        <v>114</v>
      </c>
      <c r="J274" s="9">
        <v>1</v>
      </c>
      <c r="K274" s="2">
        <v>0.48</v>
      </c>
      <c r="L274" s="92">
        <f t="shared" si="39"/>
        <v>7.6311605723370421</v>
      </c>
      <c r="M274" s="30">
        <f t="shared" si="38"/>
        <v>7.6311605723370421</v>
      </c>
    </row>
    <row r="275" spans="1:20">
      <c r="E275" s="71" t="s">
        <v>413</v>
      </c>
      <c r="F275" s="83">
        <v>2</v>
      </c>
      <c r="G275" s="82" t="s">
        <v>163</v>
      </c>
      <c r="H275" s="85">
        <f t="shared" si="35"/>
        <v>0.5</v>
      </c>
      <c r="I275" s="10" t="s">
        <v>399</v>
      </c>
      <c r="J275" s="9">
        <v>5</v>
      </c>
      <c r="K275" s="2">
        <v>0.5</v>
      </c>
      <c r="L275" s="92">
        <f t="shared" si="39"/>
        <v>7.9491255961844196</v>
      </c>
      <c r="M275" s="30">
        <f t="shared" si="38"/>
        <v>39.745627980922094</v>
      </c>
    </row>
    <row r="276" spans="1:20">
      <c r="E276" s="71" t="s">
        <v>414</v>
      </c>
      <c r="F276" s="83">
        <v>0.5</v>
      </c>
      <c r="G276" s="82" t="s">
        <v>49</v>
      </c>
      <c r="H276" s="85">
        <f t="shared" si="35"/>
        <v>0.125</v>
      </c>
      <c r="K276" s="2">
        <v>0</v>
      </c>
      <c r="L276" s="92">
        <f t="shared" si="39"/>
        <v>0</v>
      </c>
      <c r="M276" s="30">
        <f t="shared" si="38"/>
        <v>0</v>
      </c>
    </row>
    <row r="277" spans="1:20">
      <c r="E277" s="5" t="s">
        <v>415</v>
      </c>
      <c r="F277" s="83">
        <v>8</v>
      </c>
      <c r="G277" s="82" t="s">
        <v>163</v>
      </c>
      <c r="H277" s="85">
        <f t="shared" si="35"/>
        <v>2</v>
      </c>
      <c r="I277" s="10" t="s">
        <v>135</v>
      </c>
      <c r="J277" s="9">
        <v>2</v>
      </c>
      <c r="K277" s="2">
        <f>H277/8</f>
        <v>0.25</v>
      </c>
      <c r="L277" s="92">
        <f t="shared" si="39"/>
        <v>3.9745627980922098</v>
      </c>
      <c r="M277" s="30">
        <f t="shared" si="38"/>
        <v>7.9491255961844196</v>
      </c>
    </row>
    <row r="278" spans="1:20">
      <c r="E278" s="71" t="s">
        <v>416</v>
      </c>
      <c r="F278" s="83">
        <v>1</v>
      </c>
      <c r="G278" s="79" t="s">
        <v>160</v>
      </c>
      <c r="H278" s="85">
        <f t="shared" si="35"/>
        <v>0.25</v>
      </c>
      <c r="K278" s="2">
        <v>0</v>
      </c>
      <c r="L278" s="92">
        <f t="shared" si="39"/>
        <v>0</v>
      </c>
      <c r="M278" s="30">
        <f t="shared" si="38"/>
        <v>0</v>
      </c>
    </row>
    <row r="279" spans="1:20">
      <c r="E279" s="71" t="s">
        <v>417</v>
      </c>
      <c r="F279" s="83">
        <v>0.25</v>
      </c>
      <c r="G279" s="82" t="s">
        <v>49</v>
      </c>
      <c r="H279" s="85">
        <f t="shared" si="35"/>
        <v>6.25E-2</v>
      </c>
      <c r="I279" s="10" t="s">
        <v>56</v>
      </c>
      <c r="J279" s="9">
        <v>5</v>
      </c>
      <c r="K279" s="2">
        <v>0.06</v>
      </c>
      <c r="L279" s="92">
        <f t="shared" si="39"/>
        <v>0.95389507154213027</v>
      </c>
      <c r="M279" s="30">
        <f t="shared" si="38"/>
        <v>4.7694753577106512</v>
      </c>
    </row>
    <row r="280" spans="1:20">
      <c r="E280" s="71" t="s">
        <v>354</v>
      </c>
      <c r="F280" s="83">
        <v>0.25</v>
      </c>
      <c r="G280" s="29" t="s">
        <v>161</v>
      </c>
      <c r="H280" s="85">
        <f t="shared" si="35"/>
        <v>6.25E-2</v>
      </c>
      <c r="K280" s="2">
        <v>0</v>
      </c>
      <c r="L280" s="92">
        <f t="shared" si="39"/>
        <v>0</v>
      </c>
      <c r="M280" s="30">
        <f t="shared" si="38"/>
        <v>0</v>
      </c>
      <c r="Q280" s="90">
        <v>0.18</v>
      </c>
    </row>
    <row r="281" spans="1:20">
      <c r="C281" s="6" t="s">
        <v>408</v>
      </c>
      <c r="D281" s="6" t="s">
        <v>981</v>
      </c>
      <c r="E281" s="71" t="s">
        <v>418</v>
      </c>
      <c r="G281" s="82" t="s">
        <v>163</v>
      </c>
      <c r="H281" s="85">
        <v>1</v>
      </c>
      <c r="I281" s="10" t="s">
        <v>30</v>
      </c>
      <c r="J281" s="9">
        <v>2</v>
      </c>
      <c r="K281" s="2">
        <v>1</v>
      </c>
      <c r="L281" s="92">
        <f t="shared" si="39"/>
        <v>15.898251192368839</v>
      </c>
      <c r="M281" s="30">
        <f t="shared" si="38"/>
        <v>31.796502384737678</v>
      </c>
    </row>
    <row r="282" spans="1:20">
      <c r="E282" s="74" t="s">
        <v>354</v>
      </c>
      <c r="G282" s="29" t="s">
        <v>161</v>
      </c>
      <c r="H282" s="85">
        <v>0.1</v>
      </c>
      <c r="K282" s="2">
        <v>0</v>
      </c>
      <c r="L282" s="92">
        <f t="shared" si="39"/>
        <v>0</v>
      </c>
      <c r="M282" s="30">
        <f t="shared" si="38"/>
        <v>0</v>
      </c>
      <c r="Q282" s="90">
        <v>0.3</v>
      </c>
    </row>
    <row r="283" spans="1:20" ht="17.25" thickBot="1">
      <c r="A283" s="93"/>
      <c r="B283" s="93"/>
      <c r="C283" s="72"/>
      <c r="D283" s="93"/>
      <c r="E283" s="72"/>
      <c r="F283" s="87"/>
      <c r="G283" s="37"/>
      <c r="H283" s="86"/>
      <c r="I283" s="93"/>
      <c r="J283" s="93"/>
      <c r="K283" s="97">
        <f>SUM(K271:K282)</f>
        <v>6.29</v>
      </c>
      <c r="L283" s="94">
        <f>SUM(L271:L282)</f>
        <v>100</v>
      </c>
      <c r="M283" s="93"/>
      <c r="N283" s="94">
        <f>SUM(M271:M283)</f>
        <v>362.16216216216213</v>
      </c>
      <c r="O283" s="93"/>
      <c r="P283" s="93" t="s">
        <v>350</v>
      </c>
      <c r="Q283" s="95">
        <f>SUM(Q271:Q282)</f>
        <v>0.48</v>
      </c>
      <c r="R283" s="96">
        <f>SUM(R271:R282)</f>
        <v>3.75</v>
      </c>
    </row>
    <row r="284" spans="1:20">
      <c r="A284" s="6">
        <v>19</v>
      </c>
      <c r="B284" s="7" t="s">
        <v>419</v>
      </c>
      <c r="C284" s="6" t="s">
        <v>405</v>
      </c>
      <c r="D284" s="6" t="s">
        <v>981</v>
      </c>
      <c r="E284" s="71" t="s">
        <v>345</v>
      </c>
      <c r="F284" s="83">
        <v>3</v>
      </c>
      <c r="G284" s="79" t="s">
        <v>160</v>
      </c>
      <c r="H284" s="85">
        <f t="shared" ref="H284:H294" si="40">F284/4</f>
        <v>0.75</v>
      </c>
      <c r="K284" s="2">
        <v>0</v>
      </c>
      <c r="L284" s="92">
        <f>K284/8.854*100</f>
        <v>0</v>
      </c>
      <c r="M284" s="30">
        <f t="shared" si="38"/>
        <v>0</v>
      </c>
      <c r="R284" s="91">
        <v>11.25</v>
      </c>
    </row>
    <row r="285" spans="1:20">
      <c r="E285" s="71" t="s">
        <v>413</v>
      </c>
      <c r="F285" s="83">
        <v>3</v>
      </c>
      <c r="G285" s="82" t="s">
        <v>163</v>
      </c>
      <c r="H285" s="85">
        <f t="shared" si="40"/>
        <v>0.75</v>
      </c>
      <c r="I285" s="10" t="s">
        <v>399</v>
      </c>
      <c r="J285" s="9">
        <v>5</v>
      </c>
      <c r="K285" s="2">
        <v>0.75</v>
      </c>
      <c r="L285" s="92">
        <f t="shared" ref="L285:L294" si="41">K285/8.854*100</f>
        <v>8.4707476846622995</v>
      </c>
      <c r="M285" s="30">
        <f t="shared" si="38"/>
        <v>42.353738423311498</v>
      </c>
    </row>
    <row r="286" spans="1:20">
      <c r="E286" s="71" t="s">
        <v>420</v>
      </c>
      <c r="F286" s="83">
        <v>12</v>
      </c>
      <c r="G286" s="29" t="s">
        <v>194</v>
      </c>
      <c r="H286" s="85">
        <f t="shared" si="40"/>
        <v>3</v>
      </c>
      <c r="I286" s="10" t="s">
        <v>385</v>
      </c>
      <c r="J286" s="9">
        <v>3</v>
      </c>
      <c r="K286" s="2">
        <v>3</v>
      </c>
      <c r="L286" s="92">
        <f t="shared" si="41"/>
        <v>33.882990738649198</v>
      </c>
      <c r="M286" s="30">
        <f t="shared" si="38"/>
        <v>101.64897221594759</v>
      </c>
    </row>
    <row r="287" spans="1:20">
      <c r="E287" s="108" t="s">
        <v>421</v>
      </c>
      <c r="F287" s="83">
        <v>1</v>
      </c>
      <c r="G287" s="29" t="s">
        <v>161</v>
      </c>
      <c r="H287" s="85">
        <f t="shared" si="40"/>
        <v>0.25</v>
      </c>
      <c r="I287" s="10" t="s">
        <v>135</v>
      </c>
      <c r="J287" s="9">
        <v>2</v>
      </c>
      <c r="K287" s="2">
        <v>8.3000000000000004E-2</v>
      </c>
      <c r="L287" s="92">
        <f t="shared" si="41"/>
        <v>0.93742941043596129</v>
      </c>
      <c r="M287" s="30">
        <f t="shared" si="38"/>
        <v>1.8748588208719226</v>
      </c>
      <c r="T287" s="6" t="s">
        <v>908</v>
      </c>
    </row>
    <row r="288" spans="1:20">
      <c r="E288" s="71" t="s">
        <v>422</v>
      </c>
      <c r="F288" s="83">
        <v>1</v>
      </c>
      <c r="G288" s="29" t="s">
        <v>161</v>
      </c>
      <c r="H288" s="85">
        <f t="shared" si="40"/>
        <v>0.25</v>
      </c>
      <c r="I288" s="10" t="s">
        <v>23</v>
      </c>
      <c r="J288" s="9">
        <v>5</v>
      </c>
      <c r="K288" s="2">
        <v>5.0000000000000001E-4</v>
      </c>
      <c r="L288" s="92">
        <f t="shared" si="41"/>
        <v>5.6471651231081998E-3</v>
      </c>
      <c r="M288" s="30">
        <f t="shared" si="38"/>
        <v>2.8235825615540999E-2</v>
      </c>
    </row>
    <row r="289" spans="1:20">
      <c r="E289" s="71" t="s">
        <v>423</v>
      </c>
      <c r="F289" s="83">
        <v>0.25</v>
      </c>
      <c r="G289" s="29" t="s">
        <v>161</v>
      </c>
      <c r="H289" s="85">
        <f t="shared" si="40"/>
        <v>6.25E-2</v>
      </c>
      <c r="K289" s="2">
        <v>0</v>
      </c>
      <c r="L289" s="92">
        <f t="shared" si="41"/>
        <v>0</v>
      </c>
      <c r="M289" s="30">
        <f t="shared" si="38"/>
        <v>0</v>
      </c>
      <c r="Q289" s="90">
        <v>0.18</v>
      </c>
    </row>
    <row r="290" spans="1:20">
      <c r="E290" s="71" t="s">
        <v>424</v>
      </c>
      <c r="F290" s="83">
        <v>8</v>
      </c>
      <c r="G290" s="82" t="s">
        <v>49</v>
      </c>
      <c r="H290" s="85">
        <f t="shared" si="40"/>
        <v>2</v>
      </c>
      <c r="I290" s="10" t="s">
        <v>23</v>
      </c>
      <c r="J290" s="9">
        <v>5</v>
      </c>
      <c r="K290" s="2">
        <v>2</v>
      </c>
      <c r="L290" s="92">
        <f t="shared" si="41"/>
        <v>22.588660492432801</v>
      </c>
      <c r="M290" s="30">
        <f t="shared" si="38"/>
        <v>112.94330246216401</v>
      </c>
    </row>
    <row r="291" spans="1:20">
      <c r="E291" s="71" t="s">
        <v>425</v>
      </c>
      <c r="F291" s="83">
        <v>1</v>
      </c>
      <c r="G291" s="79" t="s">
        <v>160</v>
      </c>
      <c r="H291" s="85">
        <f t="shared" si="40"/>
        <v>0.25</v>
      </c>
      <c r="K291" s="2">
        <v>0</v>
      </c>
      <c r="L291" s="92">
        <f t="shared" si="41"/>
        <v>0</v>
      </c>
      <c r="M291" s="30">
        <f t="shared" si="38"/>
        <v>0</v>
      </c>
      <c r="R291" s="91">
        <v>0.93</v>
      </c>
    </row>
    <row r="292" spans="1:20">
      <c r="E292" s="71" t="s">
        <v>426</v>
      </c>
      <c r="F292" s="83">
        <v>2</v>
      </c>
      <c r="G292" s="82" t="s">
        <v>163</v>
      </c>
      <c r="H292" s="85">
        <f t="shared" si="40"/>
        <v>0.5</v>
      </c>
      <c r="I292" s="10" t="s">
        <v>386</v>
      </c>
      <c r="J292" s="9">
        <v>4</v>
      </c>
      <c r="K292" s="2">
        <v>0.5</v>
      </c>
      <c r="L292" s="92">
        <f t="shared" si="41"/>
        <v>5.6471651231082003</v>
      </c>
      <c r="M292" s="30">
        <f t="shared" si="38"/>
        <v>22.588660492432801</v>
      </c>
      <c r="T292" s="6" t="s">
        <v>904</v>
      </c>
    </row>
    <row r="293" spans="1:20">
      <c r="E293" s="71" t="s">
        <v>1349</v>
      </c>
      <c r="F293" s="83">
        <v>0.75</v>
      </c>
      <c r="G293" s="82" t="s">
        <v>49</v>
      </c>
      <c r="H293" s="85">
        <f t="shared" si="40"/>
        <v>0.1875</v>
      </c>
      <c r="I293" s="10" t="s">
        <v>270</v>
      </c>
      <c r="J293" s="9">
        <v>2</v>
      </c>
      <c r="K293" s="2">
        <v>1.52</v>
      </c>
      <c r="L293" s="92">
        <f t="shared" si="41"/>
        <v>17.167381974248929</v>
      </c>
      <c r="M293" s="30">
        <f t="shared" si="38"/>
        <v>34.334763948497859</v>
      </c>
    </row>
    <row r="294" spans="1:20">
      <c r="C294" s="6" t="s">
        <v>407</v>
      </c>
      <c r="D294" s="6" t="s">
        <v>981</v>
      </c>
      <c r="E294" s="71" t="s">
        <v>427</v>
      </c>
      <c r="F294" s="83">
        <v>2</v>
      </c>
      <c r="G294" s="82" t="s">
        <v>163</v>
      </c>
      <c r="H294" s="85">
        <f t="shared" si="40"/>
        <v>0.5</v>
      </c>
      <c r="I294" s="10" t="s">
        <v>26</v>
      </c>
      <c r="J294" s="9">
        <v>4</v>
      </c>
      <c r="K294" s="2">
        <v>1</v>
      </c>
      <c r="L294" s="92">
        <f t="shared" si="41"/>
        <v>11.294330246216401</v>
      </c>
      <c r="M294" s="30">
        <f t="shared" si="38"/>
        <v>45.177320984865602</v>
      </c>
    </row>
    <row r="295" spans="1:20" ht="17.25" thickBot="1">
      <c r="A295" s="93"/>
      <c r="B295" s="93"/>
      <c r="C295" s="72"/>
      <c r="D295" s="93"/>
      <c r="E295" s="72"/>
      <c r="F295" s="87"/>
      <c r="G295" s="37"/>
      <c r="H295" s="86"/>
      <c r="I295" s="93"/>
      <c r="J295" s="93"/>
      <c r="K295" s="97">
        <f>SUM(K285:K294)</f>
        <v>8.8535000000000004</v>
      </c>
      <c r="L295" s="93"/>
      <c r="M295" s="93"/>
      <c r="N295" s="94">
        <f>SUM(M284:M294)</f>
        <v>360.94985317370686</v>
      </c>
      <c r="O295" s="93"/>
      <c r="P295" s="93" t="s">
        <v>350</v>
      </c>
      <c r="Q295" s="95">
        <f>SUM(Q284:Q294)</f>
        <v>0.18</v>
      </c>
      <c r="R295" s="96">
        <f>SUM(R284:R294)</f>
        <v>12.18</v>
      </c>
    </row>
    <row r="296" spans="1:20">
      <c r="A296" s="6">
        <v>20</v>
      </c>
      <c r="B296" s="7" t="s">
        <v>428</v>
      </c>
      <c r="C296" s="6" t="s">
        <v>406</v>
      </c>
      <c r="D296" s="6" t="s">
        <v>981</v>
      </c>
      <c r="E296" s="71" t="s">
        <v>429</v>
      </c>
      <c r="F296" s="83">
        <v>4</v>
      </c>
      <c r="G296" s="82" t="s">
        <v>49</v>
      </c>
      <c r="H296" s="85">
        <f>F296/5</f>
        <v>0.8</v>
      </c>
      <c r="I296" s="10" t="s">
        <v>20</v>
      </c>
      <c r="J296" s="9">
        <v>4</v>
      </c>
      <c r="K296" s="2">
        <v>1.6</v>
      </c>
      <c r="L296" s="92">
        <f>K296/7.41*100</f>
        <v>21.592442645074225</v>
      </c>
      <c r="M296" s="30">
        <f t="shared" si="38"/>
        <v>86.369770580296901</v>
      </c>
      <c r="T296" s="6" t="s">
        <v>898</v>
      </c>
    </row>
    <row r="297" spans="1:20">
      <c r="E297" s="71" t="s">
        <v>1348</v>
      </c>
      <c r="F297" s="83">
        <v>1</v>
      </c>
      <c r="G297" s="29" t="s">
        <v>340</v>
      </c>
      <c r="H297" s="85">
        <f t="shared" ref="H297:H302" si="42">F297/5</f>
        <v>0.2</v>
      </c>
      <c r="I297" s="10" t="s">
        <v>56</v>
      </c>
      <c r="J297" s="9">
        <v>5</v>
      </c>
      <c r="K297" s="2">
        <v>0.5</v>
      </c>
      <c r="L297" s="92">
        <f t="shared" ref="L297:L307" si="43">K297/7.41*100</f>
        <v>6.7476383265856947</v>
      </c>
      <c r="M297" s="30">
        <f t="shared" si="38"/>
        <v>33.738191632928476</v>
      </c>
    </row>
    <row r="298" spans="1:20">
      <c r="E298" s="71" t="s">
        <v>430</v>
      </c>
      <c r="F298" s="83">
        <v>0.25</v>
      </c>
      <c r="G298" s="82" t="s">
        <v>49</v>
      </c>
      <c r="H298" s="85">
        <f t="shared" si="42"/>
        <v>0.05</v>
      </c>
      <c r="I298" s="10" t="s">
        <v>56</v>
      </c>
      <c r="J298" s="9">
        <v>5</v>
      </c>
      <c r="K298" s="2">
        <v>0.05</v>
      </c>
      <c r="L298" s="92">
        <f t="shared" si="43"/>
        <v>0.67476383265856954</v>
      </c>
      <c r="M298" s="30">
        <f t="shared" si="38"/>
        <v>3.3738191632928478</v>
      </c>
    </row>
    <row r="299" spans="1:20">
      <c r="E299" s="71" t="s">
        <v>431</v>
      </c>
      <c r="F299" s="83">
        <v>0.5</v>
      </c>
      <c r="G299" s="82" t="s">
        <v>49</v>
      </c>
      <c r="H299" s="85">
        <f t="shared" si="42"/>
        <v>0.1</v>
      </c>
      <c r="I299" s="10" t="s">
        <v>270</v>
      </c>
      <c r="J299" s="9">
        <v>2</v>
      </c>
      <c r="K299" s="2">
        <v>0.8</v>
      </c>
      <c r="L299" s="92">
        <f t="shared" si="43"/>
        <v>10.796221322537113</v>
      </c>
      <c r="M299" s="30">
        <f t="shared" si="38"/>
        <v>21.592442645074225</v>
      </c>
    </row>
    <row r="300" spans="1:20">
      <c r="E300" s="71" t="s">
        <v>354</v>
      </c>
      <c r="F300" s="83">
        <v>0.5</v>
      </c>
      <c r="G300" s="29" t="s">
        <v>161</v>
      </c>
      <c r="H300" s="85">
        <f t="shared" si="42"/>
        <v>0.1</v>
      </c>
      <c r="K300" s="2">
        <v>0</v>
      </c>
      <c r="L300" s="92">
        <f t="shared" si="43"/>
        <v>0</v>
      </c>
      <c r="M300" s="30">
        <f t="shared" si="38"/>
        <v>0</v>
      </c>
      <c r="Q300" s="90">
        <v>0.3</v>
      </c>
    </row>
    <row r="301" spans="1:20">
      <c r="E301" s="71" t="s">
        <v>343</v>
      </c>
      <c r="F301" s="83">
        <v>2</v>
      </c>
      <c r="G301" s="79" t="s">
        <v>160</v>
      </c>
      <c r="H301" s="85">
        <f t="shared" si="42"/>
        <v>0.4</v>
      </c>
      <c r="I301" s="10" t="s">
        <v>18</v>
      </c>
      <c r="J301" s="9">
        <v>5</v>
      </c>
      <c r="K301" s="2">
        <v>0.05</v>
      </c>
      <c r="L301" s="92">
        <f t="shared" si="43"/>
        <v>0.67476383265856954</v>
      </c>
      <c r="M301" s="30">
        <f t="shared" si="38"/>
        <v>3.3738191632928478</v>
      </c>
    </row>
    <row r="302" spans="1:20">
      <c r="E302" s="71" t="s">
        <v>345</v>
      </c>
      <c r="F302" s="83">
        <v>2</v>
      </c>
      <c r="G302" s="79" t="s">
        <v>160</v>
      </c>
      <c r="H302" s="85">
        <f t="shared" si="42"/>
        <v>0.4</v>
      </c>
      <c r="K302" s="2">
        <v>0</v>
      </c>
      <c r="L302" s="92">
        <f t="shared" si="43"/>
        <v>0</v>
      </c>
      <c r="M302" s="30">
        <f t="shared" si="38"/>
        <v>0</v>
      </c>
      <c r="R302" s="91">
        <v>6</v>
      </c>
    </row>
    <row r="303" spans="1:20">
      <c r="C303" s="6" t="s">
        <v>409</v>
      </c>
      <c r="D303" s="6" t="s">
        <v>981</v>
      </c>
      <c r="E303" s="71" t="s">
        <v>432</v>
      </c>
      <c r="G303" s="82" t="s">
        <v>49</v>
      </c>
      <c r="H303" s="85">
        <v>0.75</v>
      </c>
      <c r="I303" s="10" t="s">
        <v>386</v>
      </c>
      <c r="J303" s="9">
        <v>4</v>
      </c>
      <c r="K303" s="2">
        <v>1.5</v>
      </c>
      <c r="L303" s="92">
        <f t="shared" si="43"/>
        <v>20.242914979757085</v>
      </c>
      <c r="M303" s="30">
        <f t="shared" si="38"/>
        <v>80.97165991902834</v>
      </c>
    </row>
    <row r="304" spans="1:20">
      <c r="E304" s="71" t="s">
        <v>435</v>
      </c>
      <c r="G304" s="82" t="s">
        <v>49</v>
      </c>
      <c r="H304" s="85">
        <v>0.75</v>
      </c>
      <c r="I304" s="10" t="s">
        <v>436</v>
      </c>
      <c r="J304" s="9">
        <v>3</v>
      </c>
      <c r="K304" s="2">
        <v>0.75</v>
      </c>
      <c r="L304" s="92">
        <f t="shared" si="43"/>
        <v>10.121457489878543</v>
      </c>
      <c r="M304" s="30">
        <f t="shared" si="38"/>
        <v>30.364372469635626</v>
      </c>
    </row>
    <row r="305" spans="1:18">
      <c r="E305" s="71" t="s">
        <v>433</v>
      </c>
      <c r="G305" s="79" t="s">
        <v>160</v>
      </c>
      <c r="H305" s="85">
        <v>1</v>
      </c>
      <c r="I305" s="10" t="s">
        <v>135</v>
      </c>
      <c r="J305" s="9">
        <v>2</v>
      </c>
      <c r="K305" s="2">
        <v>1</v>
      </c>
      <c r="L305" s="92">
        <f t="shared" si="43"/>
        <v>13.495276653171389</v>
      </c>
      <c r="M305" s="30">
        <f t="shared" si="38"/>
        <v>26.990553306342779</v>
      </c>
    </row>
    <row r="306" spans="1:18">
      <c r="E306" s="71" t="s">
        <v>434</v>
      </c>
      <c r="G306" s="29" t="s">
        <v>161</v>
      </c>
      <c r="H306" s="85">
        <v>2</v>
      </c>
      <c r="I306" s="10" t="s">
        <v>909</v>
      </c>
      <c r="J306" s="9">
        <v>2</v>
      </c>
      <c r="K306" s="2">
        <v>0.66</v>
      </c>
      <c r="L306" s="92">
        <f t="shared" si="43"/>
        <v>8.9068825910931189</v>
      </c>
      <c r="M306" s="30">
        <f t="shared" si="38"/>
        <v>17.813765182186238</v>
      </c>
    </row>
    <row r="307" spans="1:18">
      <c r="C307" s="71" t="s">
        <v>316</v>
      </c>
      <c r="D307" s="6" t="s">
        <v>981</v>
      </c>
      <c r="E307" s="71" t="s">
        <v>316</v>
      </c>
      <c r="G307" s="82" t="s">
        <v>163</v>
      </c>
      <c r="H307" s="85">
        <v>1</v>
      </c>
      <c r="I307" s="10" t="s">
        <v>18</v>
      </c>
      <c r="J307" s="9">
        <v>5</v>
      </c>
      <c r="K307" s="2">
        <v>0.5</v>
      </c>
      <c r="L307" s="92">
        <f t="shared" si="43"/>
        <v>6.7476383265856947</v>
      </c>
      <c r="M307" s="30">
        <f t="shared" si="38"/>
        <v>33.738191632928476</v>
      </c>
    </row>
    <row r="308" spans="1:18" ht="17.25" thickBot="1">
      <c r="A308" s="93"/>
      <c r="B308" s="93"/>
      <c r="C308" s="72"/>
      <c r="D308" s="93"/>
      <c r="E308" s="72"/>
      <c r="F308" s="87"/>
      <c r="G308" s="37"/>
      <c r="H308" s="86"/>
      <c r="I308" s="93"/>
      <c r="J308" s="93"/>
      <c r="K308" s="97">
        <f>SUM(K296:K307)</f>
        <v>7.41</v>
      </c>
      <c r="L308" s="94">
        <f>SUM(L296:L307)</f>
        <v>100</v>
      </c>
      <c r="M308" s="93"/>
      <c r="N308" s="94">
        <f>SUM(M296:M307)</f>
        <v>338.32658569500671</v>
      </c>
      <c r="O308" s="93"/>
      <c r="P308" s="93" t="s">
        <v>59</v>
      </c>
      <c r="Q308" s="95">
        <f>SUM(Q296:Q307)</f>
        <v>0.3</v>
      </c>
      <c r="R308" s="96">
        <f>SUM(R296:R307)</f>
        <v>6</v>
      </c>
    </row>
  </sheetData>
  <phoneticPr fontId="2" type="noConversion"/>
  <hyperlinks>
    <hyperlink ref="C6" r:id="rId1" display="https://www.healthline.com/nutrition/9-benefits-of-whole-grains"/>
  </hyperlinks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4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T21" sqref="T21"/>
    </sheetView>
  </sheetViews>
  <sheetFormatPr defaultRowHeight="16.5"/>
  <cols>
    <col min="1" max="1" width="4.875" style="6" bestFit="1" customWidth="1"/>
    <col min="2" max="2" width="15.5" style="6" bestFit="1" customWidth="1"/>
    <col min="3" max="3" width="34" style="136" customWidth="1"/>
    <col min="4" max="4" width="15.875" style="6" customWidth="1"/>
    <col min="5" max="5" width="36.5" style="5" customWidth="1"/>
    <col min="6" max="6" width="13.625" style="83" bestFit="1" customWidth="1"/>
    <col min="7" max="7" width="5.25" style="29" bestFit="1" customWidth="1"/>
    <col min="8" max="8" width="17" style="85" bestFit="1" customWidth="1"/>
    <col min="9" max="9" width="9.125" style="6" customWidth="1"/>
    <col min="10" max="10" width="8.125" style="6" customWidth="1"/>
    <col min="11" max="11" width="6.5" style="2" customWidth="1"/>
    <col min="12" max="12" width="8.125" style="6" customWidth="1"/>
    <col min="13" max="13" width="16.125" style="6" customWidth="1"/>
    <col min="14" max="14" width="10.125" style="6" customWidth="1"/>
    <col min="15" max="15" width="11.875" style="6" customWidth="1"/>
    <col min="16" max="16" width="12.125" style="6" bestFit="1" customWidth="1"/>
    <col min="17" max="17" width="10.125" style="90" bestFit="1" customWidth="1"/>
    <col min="18" max="18" width="6.5" style="91" bestFit="1" customWidth="1"/>
    <col min="19" max="16384" width="9" style="6"/>
  </cols>
  <sheetData>
    <row r="1" spans="1:20" s="2" customFormat="1" ht="49.5">
      <c r="A1" s="62" t="s">
        <v>0</v>
      </c>
      <c r="B1" s="62" t="s">
        <v>2</v>
      </c>
      <c r="C1" s="76" t="s">
        <v>3</v>
      </c>
      <c r="D1" s="2" t="s">
        <v>37</v>
      </c>
      <c r="E1" s="144" t="s">
        <v>4</v>
      </c>
      <c r="F1" s="13" t="s">
        <v>173</v>
      </c>
      <c r="G1" s="4" t="s">
        <v>158</v>
      </c>
      <c r="H1" s="84" t="s">
        <v>174</v>
      </c>
      <c r="I1" s="2" t="s">
        <v>1</v>
      </c>
      <c r="J1" s="11" t="s">
        <v>7</v>
      </c>
      <c r="K1" s="12" t="s">
        <v>220</v>
      </c>
      <c r="L1" s="15" t="s">
        <v>8</v>
      </c>
      <c r="M1" s="16" t="s">
        <v>9</v>
      </c>
      <c r="N1" s="8" t="s">
        <v>10</v>
      </c>
      <c r="O1" s="8" t="s">
        <v>11</v>
      </c>
      <c r="P1" s="2" t="s">
        <v>12</v>
      </c>
      <c r="Q1" s="19" t="s">
        <v>35</v>
      </c>
      <c r="R1" s="17" t="s">
        <v>34</v>
      </c>
      <c r="T1" s="2" t="s">
        <v>101</v>
      </c>
    </row>
    <row r="2" spans="1:20" s="29" customFormat="1">
      <c r="A2" s="7">
        <v>1</v>
      </c>
      <c r="B2" s="7" t="s">
        <v>739</v>
      </c>
      <c r="C2" s="136" t="s">
        <v>1350</v>
      </c>
      <c r="D2" s="29" t="s">
        <v>740</v>
      </c>
      <c r="E2" s="145" t="s">
        <v>741</v>
      </c>
      <c r="F2" s="83">
        <v>4</v>
      </c>
      <c r="G2" s="29" t="s">
        <v>49</v>
      </c>
      <c r="H2" s="85">
        <f>F2/4</f>
        <v>1</v>
      </c>
      <c r="I2" s="10" t="s">
        <v>26</v>
      </c>
      <c r="J2" s="9">
        <v>4</v>
      </c>
      <c r="K2" s="13">
        <f>226/87.5</f>
        <v>2.5828571428571427</v>
      </c>
      <c r="L2" s="30">
        <f>K2/5.65*100</f>
        <v>45.714285714285708</v>
      </c>
      <c r="M2" s="30">
        <f t="shared" ref="M2:M67" si="0">L2*J2</f>
        <v>182.85714285714283</v>
      </c>
      <c r="Q2" s="23"/>
      <c r="R2" s="24"/>
    </row>
    <row r="3" spans="1:20" s="29" customFormat="1">
      <c r="A3" s="7"/>
      <c r="B3" s="7"/>
      <c r="C3" s="136"/>
      <c r="E3" s="5" t="s">
        <v>874</v>
      </c>
      <c r="F3" s="83">
        <v>4</v>
      </c>
      <c r="G3" s="29" t="s">
        <v>163</v>
      </c>
      <c r="H3" s="85">
        <f t="shared" ref="H3:H27" si="1">F3/4</f>
        <v>1</v>
      </c>
      <c r="I3" s="10" t="s">
        <v>744</v>
      </c>
      <c r="J3" s="9">
        <v>2</v>
      </c>
      <c r="K3" s="13">
        <v>0.1</v>
      </c>
      <c r="L3" s="30">
        <f t="shared" ref="L3:L11" si="2">K3/5.65*100</f>
        <v>1.7699115044247788</v>
      </c>
      <c r="M3" s="30">
        <f t="shared" si="0"/>
        <v>3.5398230088495577</v>
      </c>
      <c r="Q3" s="23"/>
      <c r="R3" s="24"/>
    </row>
    <row r="4" spans="1:20" s="29" customFormat="1">
      <c r="A4" s="7"/>
      <c r="B4" s="7"/>
      <c r="C4" s="136"/>
      <c r="E4" s="5" t="s">
        <v>199</v>
      </c>
      <c r="F4" s="83">
        <v>4</v>
      </c>
      <c r="G4" s="29" t="s">
        <v>163</v>
      </c>
      <c r="H4" s="85">
        <f t="shared" si="1"/>
        <v>1</v>
      </c>
      <c r="I4" s="10" t="s">
        <v>744</v>
      </c>
      <c r="J4" s="9">
        <v>2</v>
      </c>
      <c r="K4" s="13">
        <f>H4/8</f>
        <v>0.125</v>
      </c>
      <c r="L4" s="30">
        <f t="shared" si="2"/>
        <v>2.2123893805309733</v>
      </c>
      <c r="M4" s="30">
        <f t="shared" si="0"/>
        <v>4.4247787610619467</v>
      </c>
      <c r="Q4" s="23"/>
      <c r="R4" s="24"/>
      <c r="S4" s="62"/>
      <c r="T4" s="62"/>
    </row>
    <row r="5" spans="1:20" s="29" customFormat="1">
      <c r="A5" s="7"/>
      <c r="B5" s="7"/>
      <c r="C5" s="6"/>
      <c r="D5" s="6"/>
      <c r="E5" s="151" t="s">
        <v>1351</v>
      </c>
      <c r="F5" s="83">
        <v>1.5</v>
      </c>
      <c r="G5" s="79" t="s">
        <v>160</v>
      </c>
      <c r="H5" s="85">
        <f t="shared" si="1"/>
        <v>0.375</v>
      </c>
      <c r="I5" s="10" t="s">
        <v>23</v>
      </c>
      <c r="J5" s="9">
        <v>5</v>
      </c>
      <c r="K5" s="13">
        <v>0.02</v>
      </c>
      <c r="L5" s="30">
        <f t="shared" si="2"/>
        <v>0.35398230088495575</v>
      </c>
      <c r="M5" s="30">
        <f t="shared" si="0"/>
        <v>1.7699115044247788</v>
      </c>
      <c r="Q5" s="23"/>
      <c r="R5" s="24"/>
      <c r="S5" s="7"/>
      <c r="T5" s="7"/>
    </row>
    <row r="6" spans="1:20" s="29" customFormat="1">
      <c r="A6" s="7"/>
      <c r="B6" s="7"/>
      <c r="E6" s="146" t="s">
        <v>224</v>
      </c>
      <c r="F6" s="83">
        <v>1</v>
      </c>
      <c r="G6" s="79" t="s">
        <v>160</v>
      </c>
      <c r="H6" s="85">
        <f t="shared" si="1"/>
        <v>0.25</v>
      </c>
      <c r="I6" s="10" t="s">
        <v>745</v>
      </c>
      <c r="J6" s="9">
        <v>5</v>
      </c>
      <c r="K6" s="13">
        <v>0.5</v>
      </c>
      <c r="L6" s="30">
        <f t="shared" si="2"/>
        <v>8.8495575221238933</v>
      </c>
      <c r="M6" s="30">
        <f t="shared" si="0"/>
        <v>44.247787610619469</v>
      </c>
      <c r="Q6" s="23"/>
      <c r="R6" s="24"/>
      <c r="S6" s="7"/>
      <c r="T6" s="7"/>
    </row>
    <row r="7" spans="1:20" s="29" customFormat="1">
      <c r="E7" s="146" t="s">
        <v>169</v>
      </c>
      <c r="F7" s="83">
        <v>1</v>
      </c>
      <c r="G7" s="79" t="s">
        <v>160</v>
      </c>
      <c r="H7" s="85">
        <f t="shared" si="1"/>
        <v>0.25</v>
      </c>
      <c r="I7" s="10"/>
      <c r="J7" s="10">
        <v>0</v>
      </c>
      <c r="K7" s="13">
        <v>0</v>
      </c>
      <c r="L7" s="30">
        <f t="shared" si="2"/>
        <v>0</v>
      </c>
      <c r="M7" s="30">
        <f t="shared" si="0"/>
        <v>0</v>
      </c>
      <c r="Q7" s="23"/>
      <c r="R7" s="24">
        <v>3.75</v>
      </c>
      <c r="S7" s="7"/>
      <c r="T7" s="7"/>
    </row>
    <row r="8" spans="1:20" s="29" customFormat="1">
      <c r="C8" s="136"/>
      <c r="E8" s="151" t="s">
        <v>742</v>
      </c>
      <c r="F8" s="88">
        <v>0.25</v>
      </c>
      <c r="G8" s="29" t="s">
        <v>49</v>
      </c>
      <c r="H8" s="85">
        <f t="shared" si="1"/>
        <v>6.25E-2</v>
      </c>
      <c r="I8" s="10" t="s">
        <v>56</v>
      </c>
      <c r="J8" s="9">
        <v>5</v>
      </c>
      <c r="K8" s="13">
        <v>0.06</v>
      </c>
      <c r="L8" s="30">
        <f t="shared" si="2"/>
        <v>1.0619469026548671</v>
      </c>
      <c r="M8" s="30">
        <f t="shared" si="0"/>
        <v>5.3097345132743357</v>
      </c>
      <c r="Q8" s="23"/>
      <c r="R8" s="24"/>
    </row>
    <row r="9" spans="1:20" s="29" customFormat="1">
      <c r="C9" s="136"/>
      <c r="E9" s="5" t="s">
        <v>206</v>
      </c>
      <c r="F9" s="83">
        <v>1</v>
      </c>
      <c r="G9" s="79" t="s">
        <v>160</v>
      </c>
      <c r="H9" s="85">
        <f t="shared" si="1"/>
        <v>0.25</v>
      </c>
      <c r="I9" s="10" t="s">
        <v>56</v>
      </c>
      <c r="J9" s="9">
        <v>5</v>
      </c>
      <c r="K9" s="13">
        <v>1.4999999999999999E-2</v>
      </c>
      <c r="L9" s="30">
        <f t="shared" si="2"/>
        <v>0.26548672566371678</v>
      </c>
      <c r="M9" s="30">
        <f t="shared" si="0"/>
        <v>1.3274336283185839</v>
      </c>
      <c r="Q9" s="23"/>
      <c r="R9" s="24"/>
    </row>
    <row r="10" spans="1:20" s="29" customFormat="1">
      <c r="C10" s="136"/>
      <c r="E10" s="5" t="s">
        <v>743</v>
      </c>
      <c r="F10" s="88">
        <f>1/8</f>
        <v>0.125</v>
      </c>
      <c r="G10" s="79" t="s">
        <v>161</v>
      </c>
      <c r="H10" s="85">
        <f t="shared" si="1"/>
        <v>3.125E-2</v>
      </c>
      <c r="J10" s="29">
        <v>0</v>
      </c>
      <c r="K10" s="13">
        <v>0</v>
      </c>
      <c r="L10" s="30">
        <f t="shared" si="2"/>
        <v>0</v>
      </c>
      <c r="M10" s="30">
        <f t="shared" si="0"/>
        <v>0</v>
      </c>
      <c r="Q10" s="23"/>
      <c r="R10" s="24"/>
    </row>
    <row r="11" spans="1:20" s="29" customFormat="1">
      <c r="C11" s="136"/>
      <c r="E11" s="5" t="s">
        <v>648</v>
      </c>
      <c r="F11" s="83">
        <v>3</v>
      </c>
      <c r="G11" s="29" t="s">
        <v>49</v>
      </c>
      <c r="H11" s="85">
        <f t="shared" si="1"/>
        <v>0.75</v>
      </c>
      <c r="I11" s="10" t="s">
        <v>747</v>
      </c>
      <c r="J11" s="9">
        <v>4</v>
      </c>
      <c r="K11" s="13">
        <v>2.25</v>
      </c>
      <c r="L11" s="30">
        <f t="shared" si="2"/>
        <v>39.823008849557517</v>
      </c>
      <c r="M11" s="30">
        <f t="shared" si="0"/>
        <v>159.29203539823007</v>
      </c>
      <c r="Q11" s="23"/>
      <c r="R11" s="24"/>
    </row>
    <row r="12" spans="1:20" s="29" customFormat="1" ht="17.25" thickBot="1">
      <c r="A12" s="37"/>
      <c r="B12" s="37"/>
      <c r="C12" s="72"/>
      <c r="D12" s="37"/>
      <c r="E12" s="140"/>
      <c r="F12" s="141"/>
      <c r="G12" s="81"/>
      <c r="H12" s="86">
        <f t="shared" si="1"/>
        <v>0</v>
      </c>
      <c r="I12" s="44"/>
      <c r="J12" s="132"/>
      <c r="K12" s="26">
        <f>SUM(K2:K11)</f>
        <v>5.652857142857143</v>
      </c>
      <c r="L12" s="38">
        <f>SUM(L2:L11)</f>
        <v>100.05056890012642</v>
      </c>
      <c r="M12" s="38"/>
      <c r="N12" s="38">
        <f>SUM(M2:M11)</f>
        <v>402.76864728192157</v>
      </c>
      <c r="O12" s="37"/>
      <c r="P12" s="37" t="s">
        <v>192</v>
      </c>
      <c r="Q12" s="142"/>
      <c r="R12" s="49">
        <v>3.75</v>
      </c>
    </row>
    <row r="13" spans="1:20" s="29" customFormat="1">
      <c r="A13" s="29">
        <v>2</v>
      </c>
      <c r="B13" s="7" t="s">
        <v>748</v>
      </c>
      <c r="C13" s="136" t="s">
        <v>749</v>
      </c>
      <c r="D13" s="29" t="s">
        <v>740</v>
      </c>
      <c r="E13" s="5" t="s">
        <v>624</v>
      </c>
      <c r="F13" s="88">
        <v>1</v>
      </c>
      <c r="G13" s="79" t="s">
        <v>159</v>
      </c>
      <c r="H13" s="85">
        <f t="shared" si="1"/>
        <v>0.25</v>
      </c>
      <c r="I13" s="10" t="s">
        <v>23</v>
      </c>
      <c r="J13" s="9">
        <v>5</v>
      </c>
      <c r="K13" s="18">
        <v>0.5</v>
      </c>
      <c r="L13" s="30">
        <f>K13/2.51*100</f>
        <v>19.920318725099602</v>
      </c>
      <c r="M13" s="30">
        <f t="shared" si="0"/>
        <v>99.601593625498012</v>
      </c>
      <c r="Q13" s="23"/>
      <c r="R13" s="24"/>
    </row>
    <row r="14" spans="1:20" s="29" customFormat="1">
      <c r="C14" s="136"/>
      <c r="E14" s="5" t="s">
        <v>224</v>
      </c>
      <c r="F14" s="83">
        <v>1</v>
      </c>
      <c r="G14" s="29" t="s">
        <v>163</v>
      </c>
      <c r="H14" s="85">
        <f t="shared" si="1"/>
        <v>0.25</v>
      </c>
      <c r="I14" s="10" t="s">
        <v>745</v>
      </c>
      <c r="J14" s="9">
        <v>5</v>
      </c>
      <c r="K14" s="13">
        <v>0.25</v>
      </c>
      <c r="L14" s="30">
        <f t="shared" ref="L14:L27" si="3">K14/2.51*100</f>
        <v>9.9601593625498008</v>
      </c>
      <c r="M14" s="30">
        <f t="shared" si="0"/>
        <v>49.800796812749006</v>
      </c>
      <c r="Q14" s="23"/>
      <c r="R14" s="24"/>
    </row>
    <row r="15" spans="1:20" s="29" customFormat="1">
      <c r="C15" s="136"/>
      <c r="E15" s="5" t="s">
        <v>750</v>
      </c>
      <c r="F15" s="83">
        <v>1</v>
      </c>
      <c r="G15" s="79" t="s">
        <v>160</v>
      </c>
      <c r="H15" s="85">
        <f t="shared" si="1"/>
        <v>0.25</v>
      </c>
      <c r="I15" s="10" t="s">
        <v>56</v>
      </c>
      <c r="J15" s="9">
        <v>5</v>
      </c>
      <c r="K15" s="18">
        <v>1.4999999999999999E-2</v>
      </c>
      <c r="L15" s="30">
        <f t="shared" si="3"/>
        <v>0.59760956175298807</v>
      </c>
      <c r="M15" s="30">
        <f t="shared" si="0"/>
        <v>2.9880478087649402</v>
      </c>
      <c r="Q15" s="23"/>
      <c r="R15" s="24"/>
    </row>
    <row r="16" spans="1:20" s="29" customFormat="1">
      <c r="C16" s="80"/>
      <c r="D16" s="6"/>
      <c r="E16" s="5" t="s">
        <v>751</v>
      </c>
      <c r="F16" s="83">
        <v>1</v>
      </c>
      <c r="G16" s="79" t="s">
        <v>160</v>
      </c>
      <c r="H16" s="85">
        <f t="shared" si="1"/>
        <v>0.25</v>
      </c>
      <c r="I16" s="10" t="s">
        <v>135</v>
      </c>
      <c r="J16" s="9">
        <v>2</v>
      </c>
      <c r="K16" s="18">
        <v>0.2</v>
      </c>
      <c r="L16" s="30">
        <f t="shared" si="3"/>
        <v>7.9681274900398416</v>
      </c>
      <c r="M16" s="30">
        <f t="shared" si="0"/>
        <v>15.936254980079683</v>
      </c>
      <c r="Q16" s="23"/>
      <c r="R16" s="24"/>
    </row>
    <row r="17" spans="1:18" s="29" customFormat="1">
      <c r="E17" s="5" t="s">
        <v>362</v>
      </c>
      <c r="F17" s="83">
        <v>0.25</v>
      </c>
      <c r="G17" s="79" t="s">
        <v>161</v>
      </c>
      <c r="H17" s="85">
        <f t="shared" si="1"/>
        <v>6.25E-2</v>
      </c>
      <c r="I17" s="10" t="s">
        <v>18</v>
      </c>
      <c r="J17" s="9">
        <v>5</v>
      </c>
      <c r="K17" s="18">
        <v>1.4999999999999999E-2</v>
      </c>
      <c r="L17" s="30">
        <f t="shared" si="3"/>
        <v>0.59760956175298807</v>
      </c>
      <c r="M17" s="30">
        <f t="shared" si="0"/>
        <v>2.9880478087649402</v>
      </c>
      <c r="Q17" s="23"/>
      <c r="R17" s="24"/>
    </row>
    <row r="18" spans="1:18" s="29" customFormat="1">
      <c r="C18" s="136"/>
      <c r="E18" s="5" t="s">
        <v>752</v>
      </c>
      <c r="F18" s="83">
        <v>2</v>
      </c>
      <c r="G18" s="79" t="s">
        <v>161</v>
      </c>
      <c r="H18" s="85">
        <f t="shared" si="1"/>
        <v>0.5</v>
      </c>
      <c r="I18" s="10" t="s">
        <v>18</v>
      </c>
      <c r="J18" s="9">
        <v>5</v>
      </c>
      <c r="K18" s="18">
        <v>0.02</v>
      </c>
      <c r="L18" s="30">
        <f t="shared" si="3"/>
        <v>0.79681274900398424</v>
      </c>
      <c r="M18" s="30">
        <f t="shared" si="0"/>
        <v>3.9840637450199212</v>
      </c>
      <c r="Q18" s="23"/>
      <c r="R18" s="24"/>
    </row>
    <row r="19" spans="1:18" s="29" customFormat="1">
      <c r="C19" s="136"/>
      <c r="E19" s="5" t="s">
        <v>169</v>
      </c>
      <c r="F19" s="83">
        <v>1</v>
      </c>
      <c r="G19" s="79" t="s">
        <v>161</v>
      </c>
      <c r="H19" s="85">
        <f t="shared" si="1"/>
        <v>0.25</v>
      </c>
      <c r="I19" s="10"/>
      <c r="J19" s="9">
        <v>0</v>
      </c>
      <c r="K19" s="13">
        <v>0</v>
      </c>
      <c r="L19" s="30">
        <f t="shared" si="3"/>
        <v>0</v>
      </c>
      <c r="M19" s="30">
        <f t="shared" si="0"/>
        <v>0</v>
      </c>
      <c r="Q19" s="23"/>
      <c r="R19" s="24">
        <v>1.25</v>
      </c>
    </row>
    <row r="20" spans="1:18" s="29" customFormat="1">
      <c r="C20" s="136"/>
      <c r="E20" s="5" t="s">
        <v>149</v>
      </c>
      <c r="F20" s="83">
        <v>0.25</v>
      </c>
      <c r="G20" s="79" t="s">
        <v>161</v>
      </c>
      <c r="H20" s="85">
        <f t="shared" si="1"/>
        <v>6.25E-2</v>
      </c>
      <c r="I20" s="10"/>
      <c r="J20" s="9">
        <v>0</v>
      </c>
      <c r="K20" s="13">
        <v>0</v>
      </c>
      <c r="L20" s="30">
        <f t="shared" si="3"/>
        <v>0</v>
      </c>
      <c r="M20" s="30">
        <f t="shared" si="0"/>
        <v>0</v>
      </c>
      <c r="Q20" s="23">
        <v>0.18</v>
      </c>
      <c r="R20" s="24"/>
    </row>
    <row r="21" spans="1:18" s="29" customFormat="1">
      <c r="C21" s="136" t="s">
        <v>753</v>
      </c>
      <c r="D21" s="29" t="s">
        <v>740</v>
      </c>
      <c r="E21" s="5" t="s">
        <v>759</v>
      </c>
      <c r="F21" s="83">
        <v>1</v>
      </c>
      <c r="G21" s="29" t="s">
        <v>49</v>
      </c>
      <c r="H21" s="85">
        <f t="shared" si="1"/>
        <v>0.25</v>
      </c>
      <c r="I21" s="10" t="s">
        <v>23</v>
      </c>
      <c r="J21" s="9">
        <v>5</v>
      </c>
      <c r="K21" s="13">
        <v>0.25</v>
      </c>
      <c r="L21" s="30">
        <f t="shared" si="3"/>
        <v>9.9601593625498008</v>
      </c>
      <c r="M21" s="30">
        <f t="shared" si="0"/>
        <v>49.800796812749006</v>
      </c>
      <c r="Q21" s="23"/>
      <c r="R21" s="24"/>
    </row>
    <row r="22" spans="1:18" s="29" customFormat="1">
      <c r="C22" s="136"/>
      <c r="E22" s="5" t="s">
        <v>754</v>
      </c>
      <c r="F22" s="83">
        <v>0.5</v>
      </c>
      <c r="G22" s="29" t="s">
        <v>49</v>
      </c>
      <c r="H22" s="85">
        <f t="shared" si="1"/>
        <v>0.125</v>
      </c>
      <c r="I22" s="10" t="s">
        <v>14</v>
      </c>
      <c r="J22" s="9">
        <v>5</v>
      </c>
      <c r="K22" s="18">
        <v>0.13</v>
      </c>
      <c r="L22" s="30">
        <f t="shared" si="3"/>
        <v>5.1792828685258971</v>
      </c>
      <c r="M22" s="30">
        <f t="shared" si="0"/>
        <v>25.896414342629484</v>
      </c>
      <c r="Q22" s="23"/>
      <c r="R22" s="24"/>
    </row>
    <row r="23" spans="1:18" s="29" customFormat="1">
      <c r="C23" s="136"/>
      <c r="E23" s="5" t="s">
        <v>755</v>
      </c>
      <c r="F23" s="83">
        <v>0.5</v>
      </c>
      <c r="G23" s="29" t="s">
        <v>49</v>
      </c>
      <c r="H23" s="85">
        <f t="shared" si="1"/>
        <v>0.125</v>
      </c>
      <c r="I23" s="10" t="s">
        <v>18</v>
      </c>
      <c r="J23" s="9">
        <v>5</v>
      </c>
      <c r="K23" s="18">
        <f>H23/0.5</f>
        <v>0.25</v>
      </c>
      <c r="L23" s="30">
        <f t="shared" si="3"/>
        <v>9.9601593625498008</v>
      </c>
      <c r="M23" s="30">
        <f t="shared" si="0"/>
        <v>49.800796812749006</v>
      </c>
      <c r="Q23" s="23"/>
      <c r="R23" s="24"/>
    </row>
    <row r="24" spans="1:18" s="29" customFormat="1">
      <c r="C24" s="136"/>
      <c r="E24" s="5" t="s">
        <v>756</v>
      </c>
      <c r="F24" s="83">
        <v>0.5</v>
      </c>
      <c r="G24" s="29" t="s">
        <v>49</v>
      </c>
      <c r="H24" s="85">
        <f t="shared" si="1"/>
        <v>0.125</v>
      </c>
      <c r="I24" s="10" t="s">
        <v>18</v>
      </c>
      <c r="J24" s="9">
        <v>5</v>
      </c>
      <c r="K24" s="18">
        <f>H24/0.5</f>
        <v>0.25</v>
      </c>
      <c r="L24" s="30">
        <f t="shared" si="3"/>
        <v>9.9601593625498008</v>
      </c>
      <c r="M24" s="30">
        <f t="shared" si="0"/>
        <v>49.800796812749006</v>
      </c>
      <c r="Q24" s="23"/>
      <c r="R24" s="24"/>
    </row>
    <row r="25" spans="1:18" s="29" customFormat="1">
      <c r="C25" s="136"/>
      <c r="E25" s="5" t="s">
        <v>676</v>
      </c>
      <c r="F25" s="83">
        <v>0.5</v>
      </c>
      <c r="G25" s="79" t="s">
        <v>160</v>
      </c>
      <c r="H25" s="85">
        <f t="shared" si="1"/>
        <v>0.125</v>
      </c>
      <c r="I25" s="10" t="s">
        <v>18</v>
      </c>
      <c r="J25" s="9">
        <v>5</v>
      </c>
      <c r="K25" s="18">
        <v>1.6000000000000001E-3</v>
      </c>
      <c r="L25" s="30">
        <f t="shared" si="3"/>
        <v>6.3745019920318738E-2</v>
      </c>
      <c r="M25" s="30">
        <f t="shared" si="0"/>
        <v>0.31872509960159368</v>
      </c>
      <c r="Q25" s="23"/>
      <c r="R25" s="24"/>
    </row>
    <row r="26" spans="1:18" s="29" customFormat="1">
      <c r="C26" s="136"/>
      <c r="E26" s="5" t="s">
        <v>1352</v>
      </c>
      <c r="F26" s="83">
        <v>0.5</v>
      </c>
      <c r="G26" s="29" t="s">
        <v>49</v>
      </c>
      <c r="H26" s="85">
        <f t="shared" si="1"/>
        <v>0.125</v>
      </c>
      <c r="I26" s="10" t="s">
        <v>56</v>
      </c>
      <c r="J26" s="9">
        <v>5</v>
      </c>
      <c r="K26" s="13">
        <v>0.13</v>
      </c>
      <c r="L26" s="30">
        <f t="shared" si="3"/>
        <v>5.1792828685258971</v>
      </c>
      <c r="M26" s="30">
        <f t="shared" si="0"/>
        <v>25.896414342629484</v>
      </c>
      <c r="Q26" s="23"/>
      <c r="R26" s="24"/>
    </row>
    <row r="27" spans="1:18" s="29" customFormat="1">
      <c r="C27" s="136"/>
      <c r="E27" s="5" t="s">
        <v>757</v>
      </c>
      <c r="F27" s="83">
        <v>12</v>
      </c>
      <c r="G27" s="79" t="s">
        <v>758</v>
      </c>
      <c r="H27" s="85">
        <f t="shared" si="1"/>
        <v>3</v>
      </c>
      <c r="I27" s="10" t="s">
        <v>747</v>
      </c>
      <c r="J27" s="9">
        <v>4</v>
      </c>
      <c r="K27" s="13">
        <v>0.5</v>
      </c>
      <c r="L27" s="30">
        <f t="shared" si="3"/>
        <v>19.920318725099602</v>
      </c>
      <c r="M27" s="30">
        <f t="shared" si="0"/>
        <v>79.681274900398407</v>
      </c>
      <c r="Q27" s="23"/>
      <c r="R27" s="24"/>
    </row>
    <row r="28" spans="1:18" s="29" customFormat="1" ht="17.25" thickBot="1">
      <c r="A28" s="37"/>
      <c r="B28" s="37"/>
      <c r="C28" s="93"/>
      <c r="D28" s="93"/>
      <c r="E28" s="140"/>
      <c r="F28" s="87"/>
      <c r="G28" s="112"/>
      <c r="H28" s="86"/>
      <c r="I28" s="44"/>
      <c r="J28" s="132"/>
      <c r="K28" s="45">
        <f>SUM(K13:K27)</f>
        <v>2.5116000000000001</v>
      </c>
      <c r="L28" s="38">
        <f>SUM(L13:L27)</f>
        <v>100.06374501992033</v>
      </c>
      <c r="M28" s="38"/>
      <c r="N28" s="38">
        <f>SUM(M13:M27)</f>
        <v>456.49402390438252</v>
      </c>
      <c r="O28" s="37"/>
      <c r="P28" s="37" t="s">
        <v>192</v>
      </c>
      <c r="Q28" s="48">
        <v>0.18</v>
      </c>
      <c r="R28" s="49">
        <v>1.25</v>
      </c>
    </row>
    <row r="29" spans="1:18" s="29" customFormat="1">
      <c r="A29" s="29">
        <v>3</v>
      </c>
      <c r="B29" s="7" t="s">
        <v>760</v>
      </c>
      <c r="C29" s="136" t="s">
        <v>1353</v>
      </c>
      <c r="D29" s="29" t="s">
        <v>740</v>
      </c>
      <c r="E29" s="5" t="s">
        <v>395</v>
      </c>
      <c r="F29" s="83">
        <v>1</v>
      </c>
      <c r="G29" s="29" t="s">
        <v>163</v>
      </c>
      <c r="H29" s="85">
        <f>F29/6</f>
        <v>0.16666666666666666</v>
      </c>
      <c r="I29" s="10" t="s">
        <v>23</v>
      </c>
      <c r="J29" s="9">
        <v>5</v>
      </c>
      <c r="K29" s="13">
        <v>0.42</v>
      </c>
      <c r="L29" s="30">
        <f>K29/6.42*100</f>
        <v>6.5420560747663545</v>
      </c>
      <c r="M29" s="30">
        <f t="shared" si="0"/>
        <v>32.710280373831772</v>
      </c>
      <c r="Q29" s="23"/>
      <c r="R29" s="24"/>
    </row>
    <row r="30" spans="1:18" s="29" customFormat="1">
      <c r="C30" s="136"/>
      <c r="E30" s="5" t="s">
        <v>761</v>
      </c>
      <c r="F30" s="83">
        <v>1</v>
      </c>
      <c r="G30" s="29" t="s">
        <v>163</v>
      </c>
      <c r="H30" s="85">
        <f t="shared" ref="H30:H60" si="4">F30/6</f>
        <v>0.16666666666666666</v>
      </c>
      <c r="I30" s="10" t="s">
        <v>26</v>
      </c>
      <c r="J30" s="9">
        <v>4</v>
      </c>
      <c r="K30" s="13">
        <v>0.42</v>
      </c>
      <c r="L30" s="30">
        <f t="shared" ref="L30:L48" si="5">K30/6.42*100</f>
        <v>6.5420560747663545</v>
      </c>
      <c r="M30" s="30">
        <f t="shared" si="0"/>
        <v>26.168224299065418</v>
      </c>
      <c r="Q30" s="23"/>
      <c r="R30" s="24"/>
    </row>
    <row r="31" spans="1:18" s="29" customFormat="1">
      <c r="C31" s="136"/>
      <c r="E31" s="5" t="s">
        <v>762</v>
      </c>
      <c r="F31" s="83">
        <v>1</v>
      </c>
      <c r="G31" s="29" t="s">
        <v>163</v>
      </c>
      <c r="H31" s="85">
        <f t="shared" si="4"/>
        <v>0.16666666666666666</v>
      </c>
      <c r="I31" s="10" t="s">
        <v>23</v>
      </c>
      <c r="J31" s="9">
        <v>5</v>
      </c>
      <c r="K31" s="18">
        <v>0.42</v>
      </c>
      <c r="L31" s="30">
        <f t="shared" si="5"/>
        <v>6.5420560747663545</v>
      </c>
      <c r="M31" s="30">
        <f t="shared" si="0"/>
        <v>32.710280373831772</v>
      </c>
      <c r="Q31" s="23"/>
      <c r="R31" s="24"/>
    </row>
    <row r="32" spans="1:18" s="29" customFormat="1">
      <c r="C32" s="136"/>
      <c r="E32" s="5" t="s">
        <v>264</v>
      </c>
      <c r="F32" s="83">
        <v>6</v>
      </c>
      <c r="G32" s="29" t="s">
        <v>163</v>
      </c>
      <c r="H32" s="85">
        <f t="shared" si="4"/>
        <v>1</v>
      </c>
      <c r="I32" s="10" t="s">
        <v>23</v>
      </c>
      <c r="J32" s="9">
        <v>5</v>
      </c>
      <c r="K32" s="18">
        <f>1/3</f>
        <v>0.33333333333333331</v>
      </c>
      <c r="L32" s="30">
        <f t="shared" si="5"/>
        <v>5.1921079958463139</v>
      </c>
      <c r="M32" s="30">
        <f t="shared" si="0"/>
        <v>25.960539979231569</v>
      </c>
      <c r="Q32" s="23"/>
      <c r="R32" s="24"/>
    </row>
    <row r="33" spans="2:18" s="29" customFormat="1">
      <c r="C33" s="136"/>
      <c r="E33" s="5" t="s">
        <v>629</v>
      </c>
      <c r="F33" s="83">
        <v>1</v>
      </c>
      <c r="G33" s="29" t="s">
        <v>163</v>
      </c>
      <c r="H33" s="85">
        <f t="shared" si="4"/>
        <v>0.16666666666666666</v>
      </c>
      <c r="I33" s="10" t="s">
        <v>23</v>
      </c>
      <c r="J33" s="9">
        <v>5</v>
      </c>
      <c r="K33" s="18">
        <f>H33/2</f>
        <v>8.3333333333333329E-2</v>
      </c>
      <c r="L33" s="30">
        <f t="shared" si="5"/>
        <v>1.2980269989615785</v>
      </c>
      <c r="M33" s="30">
        <f t="shared" si="0"/>
        <v>6.4901349948078924</v>
      </c>
      <c r="Q33" s="23"/>
      <c r="R33" s="24"/>
    </row>
    <row r="34" spans="2:18" s="29" customFormat="1">
      <c r="C34" s="136"/>
      <c r="E34" s="5" t="s">
        <v>169</v>
      </c>
      <c r="F34" s="83">
        <v>2.33</v>
      </c>
      <c r="G34" s="79" t="s">
        <v>160</v>
      </c>
      <c r="H34" s="85">
        <f t="shared" si="4"/>
        <v>0.38833333333333336</v>
      </c>
      <c r="I34" s="10"/>
      <c r="J34" s="10"/>
      <c r="K34" s="13">
        <v>0</v>
      </c>
      <c r="L34" s="30">
        <f t="shared" si="5"/>
        <v>0</v>
      </c>
      <c r="M34" s="30">
        <f t="shared" si="0"/>
        <v>0</v>
      </c>
      <c r="Q34" s="23"/>
      <c r="R34" s="24">
        <v>5.85</v>
      </c>
    </row>
    <row r="35" spans="2:18" s="29" customFormat="1">
      <c r="C35" s="136"/>
      <c r="E35" s="5" t="s">
        <v>1354</v>
      </c>
      <c r="F35" s="83">
        <v>1.5</v>
      </c>
      <c r="G35" s="29" t="s">
        <v>49</v>
      </c>
      <c r="H35" s="85">
        <f t="shared" si="4"/>
        <v>0.25</v>
      </c>
      <c r="I35" s="10" t="s">
        <v>747</v>
      </c>
      <c r="J35" s="9">
        <v>4</v>
      </c>
      <c r="K35" s="13">
        <f>4/3</f>
        <v>1.3333333333333333</v>
      </c>
      <c r="L35" s="30">
        <f t="shared" si="5"/>
        <v>20.768431983385256</v>
      </c>
      <c r="M35" s="30">
        <f t="shared" si="0"/>
        <v>83.073727933541022</v>
      </c>
      <c r="Q35" s="23"/>
      <c r="R35" s="24"/>
    </row>
    <row r="36" spans="2:18" s="29" customFormat="1">
      <c r="C36" s="136"/>
      <c r="E36" s="5" t="s">
        <v>763</v>
      </c>
      <c r="F36" s="83">
        <v>2</v>
      </c>
      <c r="G36" s="79" t="s">
        <v>161</v>
      </c>
      <c r="H36" s="85">
        <f t="shared" si="4"/>
        <v>0.33333333333333331</v>
      </c>
      <c r="J36" s="35"/>
      <c r="K36" s="18">
        <v>0</v>
      </c>
      <c r="L36" s="30">
        <f t="shared" si="5"/>
        <v>0</v>
      </c>
      <c r="M36" s="30">
        <f t="shared" si="0"/>
        <v>0</v>
      </c>
      <c r="Q36" s="23"/>
      <c r="R36" s="24"/>
    </row>
    <row r="37" spans="2:18" s="29" customFormat="1">
      <c r="C37" s="136"/>
      <c r="E37" s="5" t="s">
        <v>764</v>
      </c>
      <c r="F37" s="83">
        <v>10</v>
      </c>
      <c r="G37" s="82" t="s">
        <v>194</v>
      </c>
      <c r="H37" s="85">
        <f t="shared" si="4"/>
        <v>1.6666666666666667</v>
      </c>
      <c r="I37" s="10" t="s">
        <v>56</v>
      </c>
      <c r="J37" s="9">
        <v>5</v>
      </c>
      <c r="K37" s="18">
        <v>0.54</v>
      </c>
      <c r="L37" s="30">
        <f t="shared" si="5"/>
        <v>8.4112149532710294</v>
      </c>
      <c r="M37" s="30">
        <f t="shared" si="0"/>
        <v>42.056074766355145</v>
      </c>
      <c r="Q37" s="23"/>
      <c r="R37" s="24"/>
    </row>
    <row r="38" spans="2:18" s="29" customFormat="1">
      <c r="C38" s="136"/>
      <c r="E38" s="5" t="s">
        <v>765</v>
      </c>
      <c r="F38" s="83">
        <v>2</v>
      </c>
      <c r="G38" s="29" t="s">
        <v>163</v>
      </c>
      <c r="H38" s="85">
        <f t="shared" si="4"/>
        <v>0.33333333333333331</v>
      </c>
      <c r="I38" s="10" t="s">
        <v>26</v>
      </c>
      <c r="J38" s="9">
        <v>4</v>
      </c>
      <c r="K38" s="18">
        <v>0.16500000000000001</v>
      </c>
      <c r="L38" s="30">
        <f t="shared" si="5"/>
        <v>2.5700934579439254</v>
      </c>
      <c r="M38" s="30">
        <f t="shared" si="0"/>
        <v>10.280373831775702</v>
      </c>
      <c r="Q38" s="23"/>
      <c r="R38" s="24">
        <v>0.5</v>
      </c>
    </row>
    <row r="39" spans="2:18">
      <c r="B39" s="7"/>
      <c r="C39" s="6"/>
      <c r="E39" s="5" t="s">
        <v>766</v>
      </c>
      <c r="F39" s="83">
        <v>6</v>
      </c>
      <c r="G39" s="29" t="s">
        <v>163</v>
      </c>
      <c r="H39" s="85">
        <f t="shared" si="4"/>
        <v>1</v>
      </c>
      <c r="I39" s="10" t="s">
        <v>26</v>
      </c>
      <c r="J39" s="9">
        <v>4</v>
      </c>
      <c r="K39" s="13">
        <v>0.5</v>
      </c>
      <c r="L39" s="30">
        <f t="shared" si="5"/>
        <v>7.7881619937694699</v>
      </c>
      <c r="M39" s="30">
        <f t="shared" si="0"/>
        <v>31.15264797507788</v>
      </c>
    </row>
    <row r="40" spans="2:18">
      <c r="E40" s="5" t="s">
        <v>767</v>
      </c>
      <c r="F40" s="83">
        <v>10</v>
      </c>
      <c r="G40" s="29" t="s">
        <v>163</v>
      </c>
      <c r="H40" s="85">
        <f t="shared" si="4"/>
        <v>1.6666666666666667</v>
      </c>
      <c r="I40" s="10" t="s">
        <v>135</v>
      </c>
      <c r="J40" s="9">
        <v>2</v>
      </c>
      <c r="K40" s="13">
        <v>1</v>
      </c>
      <c r="L40" s="30">
        <f t="shared" si="5"/>
        <v>15.57632398753894</v>
      </c>
      <c r="M40" s="30">
        <f t="shared" si="0"/>
        <v>31.15264797507788</v>
      </c>
    </row>
    <row r="41" spans="2:18">
      <c r="E41" s="5" t="s">
        <v>768</v>
      </c>
      <c r="F41" s="83">
        <v>2</v>
      </c>
      <c r="G41" s="79" t="s">
        <v>161</v>
      </c>
      <c r="H41" s="85">
        <f t="shared" si="4"/>
        <v>0.33333333333333331</v>
      </c>
      <c r="K41" s="13">
        <v>0</v>
      </c>
      <c r="L41" s="30">
        <f t="shared" si="5"/>
        <v>0</v>
      </c>
      <c r="M41" s="30">
        <f t="shared" si="0"/>
        <v>0</v>
      </c>
    </row>
    <row r="42" spans="2:18">
      <c r="C42" s="136" t="s">
        <v>1327</v>
      </c>
      <c r="D42" s="29" t="s">
        <v>740</v>
      </c>
      <c r="E42" s="5" t="s">
        <v>169</v>
      </c>
      <c r="F42" s="83">
        <v>2</v>
      </c>
      <c r="G42" s="79" t="s">
        <v>161</v>
      </c>
      <c r="H42" s="85">
        <f t="shared" si="4"/>
        <v>0.33333333333333331</v>
      </c>
      <c r="I42" s="10"/>
      <c r="J42" s="9"/>
      <c r="K42" s="2">
        <v>0</v>
      </c>
      <c r="L42" s="30">
        <f t="shared" si="5"/>
        <v>0</v>
      </c>
      <c r="M42" s="30">
        <f t="shared" si="0"/>
        <v>0</v>
      </c>
      <c r="R42" s="91">
        <v>1.65</v>
      </c>
    </row>
    <row r="43" spans="2:18">
      <c r="E43" s="5" t="s">
        <v>207</v>
      </c>
      <c r="F43" s="83">
        <v>4</v>
      </c>
      <c r="G43" s="29" t="s">
        <v>163</v>
      </c>
      <c r="H43" s="85">
        <f t="shared" si="4"/>
        <v>0.66666666666666663</v>
      </c>
      <c r="I43" s="10" t="s">
        <v>769</v>
      </c>
      <c r="J43" s="9">
        <v>5</v>
      </c>
      <c r="K43" s="2">
        <v>0.67</v>
      </c>
      <c r="L43" s="30">
        <f t="shared" si="5"/>
        <v>10.436137071651091</v>
      </c>
      <c r="M43" s="30">
        <f t="shared" si="0"/>
        <v>52.180685358255452</v>
      </c>
    </row>
    <row r="44" spans="2:18">
      <c r="E44" s="5" t="s">
        <v>245</v>
      </c>
      <c r="F44" s="83">
        <v>1</v>
      </c>
      <c r="G44" s="29" t="s">
        <v>159</v>
      </c>
      <c r="H44" s="85">
        <f t="shared" si="4"/>
        <v>0.16666666666666666</v>
      </c>
      <c r="I44" s="10" t="s">
        <v>56</v>
      </c>
      <c r="J44" s="9">
        <v>5</v>
      </c>
      <c r="K44" s="2">
        <v>0.34</v>
      </c>
      <c r="L44" s="30">
        <f t="shared" si="5"/>
        <v>5.29595015576324</v>
      </c>
      <c r="M44" s="30">
        <f t="shared" si="0"/>
        <v>26.4797507788162</v>
      </c>
    </row>
    <row r="45" spans="2:18">
      <c r="E45" s="5" t="s">
        <v>246</v>
      </c>
      <c r="F45" s="83">
        <v>0.5</v>
      </c>
      <c r="G45" s="29" t="s">
        <v>49</v>
      </c>
      <c r="H45" s="85">
        <f t="shared" si="4"/>
        <v>8.3333333333333329E-2</v>
      </c>
      <c r="J45" s="9"/>
      <c r="K45" s="2">
        <v>0</v>
      </c>
      <c r="L45" s="30">
        <f t="shared" si="5"/>
        <v>0</v>
      </c>
      <c r="M45" s="30">
        <f t="shared" si="0"/>
        <v>0</v>
      </c>
    </row>
    <row r="46" spans="2:18">
      <c r="E46" s="5" t="s">
        <v>247</v>
      </c>
      <c r="F46" s="83">
        <v>1</v>
      </c>
      <c r="G46" s="29" t="s">
        <v>49</v>
      </c>
      <c r="H46" s="85">
        <f t="shared" si="4"/>
        <v>0.16666666666666666</v>
      </c>
      <c r="I46" s="10" t="s">
        <v>26</v>
      </c>
      <c r="J46" s="9">
        <v>4</v>
      </c>
      <c r="K46" s="2">
        <v>0.17</v>
      </c>
      <c r="L46" s="30">
        <f t="shared" si="5"/>
        <v>2.64797507788162</v>
      </c>
      <c r="M46" s="30">
        <f t="shared" si="0"/>
        <v>10.59190031152648</v>
      </c>
    </row>
    <row r="47" spans="2:18">
      <c r="E47" s="5" t="s">
        <v>752</v>
      </c>
      <c r="F47" s="83">
        <v>1</v>
      </c>
      <c r="G47" s="79" t="s">
        <v>160</v>
      </c>
      <c r="H47" s="85">
        <f t="shared" si="4"/>
        <v>0.16666666666666666</v>
      </c>
      <c r="I47" s="10" t="s">
        <v>18</v>
      </c>
      <c r="J47" s="9">
        <v>5</v>
      </c>
      <c r="K47" s="2">
        <v>2.5499999999999998E-2</v>
      </c>
      <c r="L47" s="30">
        <f t="shared" si="5"/>
        <v>0.39719626168224298</v>
      </c>
      <c r="M47" s="30">
        <f t="shared" si="0"/>
        <v>1.985981308411215</v>
      </c>
    </row>
    <row r="48" spans="2:18">
      <c r="E48" s="5" t="s">
        <v>149</v>
      </c>
      <c r="F48" s="83">
        <v>0.25</v>
      </c>
      <c r="G48" s="79" t="s">
        <v>161</v>
      </c>
      <c r="H48" s="85">
        <f t="shared" si="4"/>
        <v>4.1666666666666664E-2</v>
      </c>
      <c r="I48" s="10"/>
      <c r="J48" s="9"/>
      <c r="K48" s="2">
        <v>0</v>
      </c>
      <c r="L48" s="30">
        <f t="shared" si="5"/>
        <v>0</v>
      </c>
      <c r="M48" s="30">
        <f t="shared" si="0"/>
        <v>0</v>
      </c>
      <c r="Q48" s="90">
        <v>0.12</v>
      </c>
    </row>
    <row r="49" spans="1:20" ht="17.25" thickBot="1">
      <c r="A49" s="93"/>
      <c r="B49" s="93"/>
      <c r="C49" s="72"/>
      <c r="D49" s="93"/>
      <c r="E49" s="140"/>
      <c r="F49" s="87"/>
      <c r="G49" s="81"/>
      <c r="H49" s="86"/>
      <c r="I49" s="93"/>
      <c r="J49" s="93"/>
      <c r="K49" s="26">
        <f>SUM(K29:K48)</f>
        <v>6.4204999999999997</v>
      </c>
      <c r="L49" s="98">
        <f>SUM(L29:L48)</f>
        <v>100.00778816199376</v>
      </c>
      <c r="M49" s="38"/>
      <c r="N49" s="94">
        <f>SUM(M29:M48)</f>
        <v>412.99325025960536</v>
      </c>
      <c r="O49" s="93"/>
      <c r="P49" s="37" t="s">
        <v>192</v>
      </c>
      <c r="Q49" s="95">
        <v>0.12</v>
      </c>
      <c r="R49" s="143">
        <f>SUM(R29:R48)</f>
        <v>8</v>
      </c>
    </row>
    <row r="50" spans="1:20">
      <c r="A50" s="6">
        <v>4</v>
      </c>
      <c r="B50" s="7" t="s">
        <v>770</v>
      </c>
      <c r="C50" s="136" t="s">
        <v>771</v>
      </c>
      <c r="D50" s="29" t="s">
        <v>740</v>
      </c>
      <c r="E50" s="5" t="s">
        <v>772</v>
      </c>
      <c r="F50" s="83">
        <v>8</v>
      </c>
      <c r="G50" s="82" t="s">
        <v>194</v>
      </c>
      <c r="H50" s="85">
        <f t="shared" si="4"/>
        <v>1.3333333333333333</v>
      </c>
      <c r="I50" s="10" t="s">
        <v>782</v>
      </c>
      <c r="J50" s="9">
        <v>2</v>
      </c>
      <c r="K50" s="2">
        <v>1.54</v>
      </c>
      <c r="L50" s="30">
        <f>K50/4.497*100</f>
        <v>34.245052257060266</v>
      </c>
      <c r="M50" s="30">
        <f t="shared" si="0"/>
        <v>68.490104514120532</v>
      </c>
    </row>
    <row r="51" spans="1:20">
      <c r="E51" s="5" t="s">
        <v>483</v>
      </c>
      <c r="F51" s="83">
        <v>1</v>
      </c>
      <c r="G51" s="79" t="s">
        <v>160</v>
      </c>
      <c r="H51" s="85">
        <f t="shared" si="4"/>
        <v>0.16666666666666666</v>
      </c>
      <c r="I51" s="10"/>
      <c r="J51" s="9"/>
      <c r="K51" s="2">
        <v>0</v>
      </c>
      <c r="L51" s="30">
        <f t="shared" ref="L51:L64" si="6">K51/4.497*100</f>
        <v>0</v>
      </c>
      <c r="M51" s="30">
        <f t="shared" si="0"/>
        <v>0</v>
      </c>
      <c r="R51" s="91">
        <v>2.5499999999999998</v>
      </c>
    </row>
    <row r="52" spans="1:20">
      <c r="E52" s="5" t="s">
        <v>773</v>
      </c>
      <c r="F52" s="83">
        <v>1</v>
      </c>
      <c r="G52" s="79" t="s">
        <v>160</v>
      </c>
      <c r="H52" s="85">
        <f t="shared" si="4"/>
        <v>0.16666666666666666</v>
      </c>
      <c r="K52" s="2">
        <v>0</v>
      </c>
      <c r="L52" s="30">
        <f t="shared" si="6"/>
        <v>0</v>
      </c>
      <c r="M52" s="30">
        <f t="shared" si="0"/>
        <v>0</v>
      </c>
      <c r="R52" s="91">
        <v>2.5499999999999998</v>
      </c>
    </row>
    <row r="53" spans="1:20">
      <c r="E53" s="5" t="s">
        <v>774</v>
      </c>
      <c r="F53" s="83">
        <v>1</v>
      </c>
      <c r="G53" s="79" t="s">
        <v>160</v>
      </c>
      <c r="H53" s="85">
        <f t="shared" si="4"/>
        <v>0.16666666666666666</v>
      </c>
      <c r="I53" s="10" t="s">
        <v>23</v>
      </c>
      <c r="J53" s="9">
        <v>5</v>
      </c>
      <c r="K53" s="2">
        <f>2.4/34</f>
        <v>7.0588235294117646E-2</v>
      </c>
      <c r="L53" s="30">
        <f t="shared" si="6"/>
        <v>1.5696739002472235</v>
      </c>
      <c r="M53" s="30">
        <f t="shared" si="0"/>
        <v>7.8483695012361174</v>
      </c>
    </row>
    <row r="54" spans="1:20">
      <c r="E54" s="5" t="s">
        <v>207</v>
      </c>
      <c r="F54" s="83">
        <v>2</v>
      </c>
      <c r="G54" s="29" t="s">
        <v>163</v>
      </c>
      <c r="H54" s="85">
        <f t="shared" si="4"/>
        <v>0.33333333333333331</v>
      </c>
      <c r="I54" s="10" t="s">
        <v>769</v>
      </c>
      <c r="J54" s="9">
        <v>5</v>
      </c>
      <c r="K54" s="2">
        <v>0.33</v>
      </c>
      <c r="L54" s="30">
        <f t="shared" si="6"/>
        <v>7.338225483655771</v>
      </c>
      <c r="M54" s="30">
        <f t="shared" si="0"/>
        <v>36.691127418278853</v>
      </c>
    </row>
    <row r="55" spans="1:20">
      <c r="E55" s="5" t="s">
        <v>775</v>
      </c>
      <c r="F55" s="83">
        <v>2</v>
      </c>
      <c r="G55" s="79" t="s">
        <v>160</v>
      </c>
      <c r="H55" s="85">
        <f t="shared" si="4"/>
        <v>0.33333333333333331</v>
      </c>
      <c r="I55" s="10"/>
      <c r="J55" s="9"/>
      <c r="K55" s="2">
        <v>0</v>
      </c>
      <c r="L55" s="30">
        <f t="shared" si="6"/>
        <v>0</v>
      </c>
      <c r="M55" s="30">
        <f t="shared" si="0"/>
        <v>0</v>
      </c>
      <c r="Q55" s="90">
        <v>0.34</v>
      </c>
    </row>
    <row r="56" spans="1:20">
      <c r="E56" s="5" t="s">
        <v>776</v>
      </c>
      <c r="F56" s="83">
        <v>1</v>
      </c>
      <c r="G56" s="29" t="s">
        <v>49</v>
      </c>
      <c r="H56" s="85">
        <f t="shared" si="4"/>
        <v>0.16666666666666666</v>
      </c>
      <c r="I56" s="10" t="s">
        <v>783</v>
      </c>
      <c r="J56" s="9">
        <v>5</v>
      </c>
      <c r="K56" s="2">
        <v>0.17</v>
      </c>
      <c r="L56" s="30">
        <f t="shared" si="6"/>
        <v>3.7802979764287308</v>
      </c>
      <c r="M56" s="30">
        <f t="shared" si="0"/>
        <v>18.901489882143654</v>
      </c>
    </row>
    <row r="57" spans="1:20">
      <c r="E57" s="108" t="s">
        <v>777</v>
      </c>
      <c r="F57" s="83">
        <v>1</v>
      </c>
      <c r="G57" s="29" t="s">
        <v>49</v>
      </c>
      <c r="H57" s="85">
        <f t="shared" si="4"/>
        <v>0.16666666666666666</v>
      </c>
      <c r="I57" s="10" t="s">
        <v>23</v>
      </c>
      <c r="J57" s="9">
        <v>5</v>
      </c>
      <c r="K57" s="2">
        <v>0.17</v>
      </c>
      <c r="L57" s="30">
        <f t="shared" si="6"/>
        <v>3.7802979764287308</v>
      </c>
      <c r="M57" s="30">
        <f t="shared" si="0"/>
        <v>18.901489882143654</v>
      </c>
      <c r="T57" s="6" t="s">
        <v>875</v>
      </c>
    </row>
    <row r="58" spans="1:20">
      <c r="E58" s="5" t="s">
        <v>247</v>
      </c>
      <c r="F58" s="83">
        <v>8</v>
      </c>
      <c r="G58" s="29" t="s">
        <v>163</v>
      </c>
      <c r="H58" s="85">
        <f t="shared" si="4"/>
        <v>1.3333333333333333</v>
      </c>
      <c r="I58" s="10" t="s">
        <v>26</v>
      </c>
      <c r="J58" s="9">
        <v>4</v>
      </c>
      <c r="K58" s="2">
        <f>H58/8</f>
        <v>0.16666666666666666</v>
      </c>
      <c r="L58" s="30">
        <f t="shared" si="6"/>
        <v>3.7061744866948332</v>
      </c>
      <c r="M58" s="30">
        <f t="shared" si="0"/>
        <v>14.824697946779333</v>
      </c>
    </row>
    <row r="59" spans="1:20">
      <c r="E59" s="5" t="s">
        <v>244</v>
      </c>
      <c r="F59" s="83">
        <v>1</v>
      </c>
      <c r="G59" s="29" t="s">
        <v>49</v>
      </c>
      <c r="H59" s="85">
        <f t="shared" si="4"/>
        <v>0.16666666666666666</v>
      </c>
      <c r="I59" s="10" t="s">
        <v>56</v>
      </c>
      <c r="J59" s="9">
        <v>5</v>
      </c>
      <c r="K59" s="2">
        <v>0.17</v>
      </c>
      <c r="L59" s="30">
        <f t="shared" si="6"/>
        <v>3.7802979764287308</v>
      </c>
      <c r="M59" s="30">
        <f t="shared" si="0"/>
        <v>18.901489882143654</v>
      </c>
    </row>
    <row r="60" spans="1:20">
      <c r="E60" s="5" t="s">
        <v>778</v>
      </c>
      <c r="F60" s="83">
        <v>2</v>
      </c>
      <c r="G60" s="29" t="s">
        <v>163</v>
      </c>
      <c r="H60" s="85">
        <f t="shared" si="4"/>
        <v>0.33333333333333331</v>
      </c>
      <c r="I60" s="10" t="s">
        <v>784</v>
      </c>
      <c r="J60" s="9">
        <v>5</v>
      </c>
      <c r="K60" s="2">
        <v>0.24</v>
      </c>
      <c r="L60" s="30">
        <f t="shared" si="6"/>
        <v>5.3368912608405603</v>
      </c>
      <c r="M60" s="30">
        <f t="shared" si="0"/>
        <v>26.684456304202801</v>
      </c>
    </row>
    <row r="61" spans="1:20">
      <c r="C61" s="136" t="s">
        <v>876</v>
      </c>
      <c r="D61" s="29" t="s">
        <v>740</v>
      </c>
      <c r="E61" s="108" t="s">
        <v>779</v>
      </c>
      <c r="F61" s="83">
        <v>1</v>
      </c>
      <c r="G61" s="29" t="s">
        <v>163</v>
      </c>
      <c r="H61" s="85">
        <f>F61/4</f>
        <v>0.25</v>
      </c>
      <c r="I61" s="10" t="s">
        <v>22</v>
      </c>
      <c r="J61" s="9">
        <v>5</v>
      </c>
      <c r="K61" s="2">
        <v>1.1399999999999999</v>
      </c>
      <c r="L61" s="30">
        <f t="shared" si="6"/>
        <v>25.350233488992664</v>
      </c>
      <c r="M61" s="30">
        <f t="shared" si="0"/>
        <v>126.75116744496333</v>
      </c>
      <c r="T61" s="6" t="s">
        <v>877</v>
      </c>
    </row>
    <row r="62" spans="1:20">
      <c r="E62" s="5" t="s">
        <v>780</v>
      </c>
      <c r="F62" s="83">
        <v>1</v>
      </c>
      <c r="G62" s="29" t="s">
        <v>163</v>
      </c>
      <c r="H62" s="85">
        <f t="shared" ref="H62:H104" si="7">F62/4</f>
        <v>0.25</v>
      </c>
      <c r="I62" s="10" t="s">
        <v>769</v>
      </c>
      <c r="J62" s="9">
        <v>5</v>
      </c>
      <c r="K62" s="2">
        <v>0.25</v>
      </c>
      <c r="L62" s="30">
        <f t="shared" si="6"/>
        <v>5.55926173004225</v>
      </c>
      <c r="M62" s="30">
        <f t="shared" si="0"/>
        <v>27.796308650211252</v>
      </c>
    </row>
    <row r="63" spans="1:20">
      <c r="E63" s="5" t="s">
        <v>1357</v>
      </c>
      <c r="F63" s="83">
        <v>1</v>
      </c>
      <c r="G63" s="29" t="s">
        <v>163</v>
      </c>
      <c r="H63" s="85">
        <f t="shared" si="7"/>
        <v>0.25</v>
      </c>
      <c r="I63" s="10" t="s">
        <v>785</v>
      </c>
      <c r="J63" s="9">
        <v>5</v>
      </c>
      <c r="K63" s="2">
        <v>0.25</v>
      </c>
      <c r="L63" s="30">
        <f t="shared" si="6"/>
        <v>5.55926173004225</v>
      </c>
      <c r="M63" s="30">
        <f t="shared" si="0"/>
        <v>27.796308650211252</v>
      </c>
    </row>
    <row r="64" spans="1:20">
      <c r="E64" s="5" t="s">
        <v>781</v>
      </c>
      <c r="F64" s="83">
        <v>1</v>
      </c>
      <c r="G64" s="79" t="s">
        <v>160</v>
      </c>
      <c r="H64" s="85">
        <f t="shared" si="7"/>
        <v>0.25</v>
      </c>
      <c r="I64" s="10"/>
      <c r="J64" s="9"/>
      <c r="K64" s="2">
        <v>0</v>
      </c>
      <c r="L64" s="30">
        <f t="shared" si="6"/>
        <v>0</v>
      </c>
      <c r="M64" s="30">
        <f t="shared" si="0"/>
        <v>0</v>
      </c>
      <c r="R64" s="91">
        <v>1.25</v>
      </c>
    </row>
    <row r="65" spans="1:20" ht="17.25" thickBot="1">
      <c r="A65" s="93"/>
      <c r="B65" s="93"/>
      <c r="C65" s="72"/>
      <c r="D65" s="93"/>
      <c r="E65" s="140"/>
      <c r="F65" s="87"/>
      <c r="G65" s="112"/>
      <c r="H65" s="86"/>
      <c r="I65" s="44"/>
      <c r="J65" s="132"/>
      <c r="K65" s="97">
        <f>SUM(K50:K64)</f>
        <v>4.4972549019607841</v>
      </c>
      <c r="L65" s="98">
        <f>SUM(L50:L64)</f>
        <v>100.00566826686202</v>
      </c>
      <c r="M65" s="38"/>
      <c r="N65" s="94">
        <f>SUM(M50:M64)</f>
        <v>393.58701007643447</v>
      </c>
      <c r="O65" s="93"/>
      <c r="P65" s="93" t="s">
        <v>59</v>
      </c>
      <c r="Q65" s="95">
        <v>0.34</v>
      </c>
      <c r="R65" s="96">
        <f>SUM(R50:R64)</f>
        <v>6.35</v>
      </c>
    </row>
    <row r="66" spans="1:20">
      <c r="A66" s="6">
        <v>5</v>
      </c>
      <c r="B66" s="7" t="s">
        <v>786</v>
      </c>
      <c r="C66" s="136" t="s">
        <v>889</v>
      </c>
      <c r="D66" s="29" t="s">
        <v>740</v>
      </c>
      <c r="E66" s="5" t="s">
        <v>169</v>
      </c>
      <c r="F66" s="83">
        <v>1</v>
      </c>
      <c r="G66" s="79" t="s">
        <v>160</v>
      </c>
      <c r="H66" s="85">
        <f t="shared" si="7"/>
        <v>0.25</v>
      </c>
      <c r="I66" s="10"/>
      <c r="J66" s="9"/>
      <c r="K66" s="2">
        <v>0</v>
      </c>
      <c r="L66" s="30">
        <f>K66/5.237*100</f>
        <v>0</v>
      </c>
      <c r="M66" s="30">
        <f t="shared" si="0"/>
        <v>0</v>
      </c>
      <c r="R66" s="91">
        <v>3.75</v>
      </c>
    </row>
    <row r="67" spans="1:20">
      <c r="E67" s="5" t="s">
        <v>210</v>
      </c>
      <c r="F67" s="83">
        <v>1</v>
      </c>
      <c r="G67" s="29" t="s">
        <v>163</v>
      </c>
      <c r="H67" s="85">
        <f t="shared" si="7"/>
        <v>0.25</v>
      </c>
      <c r="I67" s="10" t="s">
        <v>784</v>
      </c>
      <c r="J67" s="9">
        <v>5</v>
      </c>
      <c r="K67" s="2">
        <v>0.34</v>
      </c>
      <c r="L67" s="30">
        <f t="shared" ref="L67:L77" si="8">K67/5.237*100</f>
        <v>6.4922665648271911</v>
      </c>
      <c r="M67" s="30">
        <f t="shared" si="0"/>
        <v>32.461332824135958</v>
      </c>
    </row>
    <row r="68" spans="1:20">
      <c r="B68" s="7"/>
      <c r="E68" s="108" t="s">
        <v>1358</v>
      </c>
      <c r="F68" s="83">
        <v>1</v>
      </c>
      <c r="G68" s="29" t="s">
        <v>49</v>
      </c>
      <c r="H68" s="85">
        <f t="shared" si="7"/>
        <v>0.25</v>
      </c>
      <c r="I68" s="10" t="s">
        <v>23</v>
      </c>
      <c r="J68" s="9">
        <v>5</v>
      </c>
      <c r="K68" s="2">
        <v>0.25</v>
      </c>
      <c r="L68" s="30">
        <f t="shared" si="8"/>
        <v>4.7737254153141109</v>
      </c>
      <c r="M68" s="30">
        <f t="shared" ref="M68:M131" si="9">L68*J68</f>
        <v>23.868627076570554</v>
      </c>
      <c r="T68" s="6" t="s">
        <v>878</v>
      </c>
    </row>
    <row r="69" spans="1:20">
      <c r="E69" s="5" t="s">
        <v>787</v>
      </c>
      <c r="F69" s="83">
        <v>1</v>
      </c>
      <c r="G69" s="29" t="s">
        <v>49</v>
      </c>
      <c r="H69" s="85">
        <f t="shared" si="7"/>
        <v>0.25</v>
      </c>
      <c r="I69" s="10" t="s">
        <v>23</v>
      </c>
      <c r="J69" s="9">
        <v>5</v>
      </c>
      <c r="K69" s="2">
        <v>0.25</v>
      </c>
      <c r="L69" s="30">
        <f t="shared" si="8"/>
        <v>4.7737254153141109</v>
      </c>
      <c r="M69" s="30">
        <f t="shared" si="9"/>
        <v>23.868627076570554</v>
      </c>
    </row>
    <row r="70" spans="1:20">
      <c r="E70" s="5" t="s">
        <v>788</v>
      </c>
      <c r="F70" s="83">
        <v>3</v>
      </c>
      <c r="G70" s="29" t="s">
        <v>163</v>
      </c>
      <c r="H70" s="85">
        <f t="shared" si="7"/>
        <v>0.75</v>
      </c>
      <c r="I70" s="10" t="s">
        <v>769</v>
      </c>
      <c r="J70" s="9">
        <v>5</v>
      </c>
      <c r="K70" s="2">
        <v>0.75</v>
      </c>
      <c r="L70" s="30">
        <f t="shared" si="8"/>
        <v>14.321176245942333</v>
      </c>
      <c r="M70" s="30">
        <f t="shared" si="9"/>
        <v>71.605881229711656</v>
      </c>
    </row>
    <row r="71" spans="1:20">
      <c r="E71" s="5" t="s">
        <v>664</v>
      </c>
      <c r="F71" s="83">
        <v>4</v>
      </c>
      <c r="G71" s="29" t="s">
        <v>163</v>
      </c>
      <c r="H71" s="85">
        <f t="shared" si="7"/>
        <v>1</v>
      </c>
      <c r="I71" s="10" t="s">
        <v>26</v>
      </c>
      <c r="J71" s="9">
        <v>4</v>
      </c>
      <c r="K71" s="2">
        <v>0.5</v>
      </c>
      <c r="L71" s="30">
        <f t="shared" si="8"/>
        <v>9.5474508306282218</v>
      </c>
      <c r="M71" s="30">
        <f t="shared" si="9"/>
        <v>38.189803322512887</v>
      </c>
    </row>
    <row r="72" spans="1:20">
      <c r="E72" s="108" t="s">
        <v>1359</v>
      </c>
      <c r="F72" s="83">
        <v>1</v>
      </c>
      <c r="G72" s="29" t="s">
        <v>163</v>
      </c>
      <c r="H72" s="85">
        <f t="shared" si="7"/>
        <v>0.25</v>
      </c>
      <c r="I72" s="10" t="s">
        <v>23</v>
      </c>
      <c r="J72" s="9">
        <v>5</v>
      </c>
      <c r="K72" s="2">
        <v>1.7000000000000001E-2</v>
      </c>
      <c r="L72" s="30">
        <f t="shared" si="8"/>
        <v>0.32461332824135958</v>
      </c>
      <c r="M72" s="30">
        <f t="shared" si="9"/>
        <v>1.623066641206798</v>
      </c>
      <c r="T72" s="6" t="s">
        <v>712</v>
      </c>
    </row>
    <row r="73" spans="1:20">
      <c r="E73" s="5" t="s">
        <v>1360</v>
      </c>
      <c r="F73" s="83">
        <v>1</v>
      </c>
      <c r="G73" s="29" t="s">
        <v>49</v>
      </c>
      <c r="H73" s="85">
        <f t="shared" si="7"/>
        <v>0.25</v>
      </c>
      <c r="I73" s="10" t="s">
        <v>793</v>
      </c>
      <c r="J73" s="9">
        <v>4</v>
      </c>
      <c r="K73" s="2">
        <v>0.5</v>
      </c>
      <c r="L73" s="30">
        <f t="shared" si="8"/>
        <v>9.5474508306282218</v>
      </c>
      <c r="M73" s="30">
        <f t="shared" si="9"/>
        <v>38.189803322512887</v>
      </c>
    </row>
    <row r="74" spans="1:20">
      <c r="E74" s="5" t="s">
        <v>789</v>
      </c>
      <c r="F74" s="83">
        <v>1</v>
      </c>
      <c r="G74" s="29" t="s">
        <v>49</v>
      </c>
      <c r="H74" s="85">
        <f t="shared" si="7"/>
        <v>0.25</v>
      </c>
      <c r="I74" s="10" t="s">
        <v>20</v>
      </c>
      <c r="J74" s="9">
        <v>4</v>
      </c>
      <c r="K74" s="2">
        <v>0.5</v>
      </c>
      <c r="L74" s="30">
        <f t="shared" si="8"/>
        <v>9.5474508306282218</v>
      </c>
      <c r="M74" s="30">
        <f t="shared" si="9"/>
        <v>38.189803322512887</v>
      </c>
    </row>
    <row r="75" spans="1:20">
      <c r="E75" s="5" t="s">
        <v>790</v>
      </c>
      <c r="F75" s="83">
        <v>0.5</v>
      </c>
      <c r="G75" s="29" t="s">
        <v>49</v>
      </c>
      <c r="H75" s="85">
        <f t="shared" si="7"/>
        <v>0.125</v>
      </c>
      <c r="I75" s="10" t="s">
        <v>56</v>
      </c>
      <c r="J75" s="9">
        <v>5</v>
      </c>
      <c r="K75" s="2">
        <v>0.13</v>
      </c>
      <c r="L75" s="30">
        <f t="shared" si="8"/>
        <v>2.4823372159633381</v>
      </c>
      <c r="M75" s="30">
        <f t="shared" si="9"/>
        <v>12.41168607981669</v>
      </c>
    </row>
    <row r="76" spans="1:20">
      <c r="E76" s="108" t="s">
        <v>791</v>
      </c>
      <c r="F76" s="83">
        <v>8</v>
      </c>
      <c r="G76" s="29" t="s">
        <v>163</v>
      </c>
      <c r="H76" s="85">
        <f t="shared" si="7"/>
        <v>2</v>
      </c>
      <c r="I76" s="10" t="s">
        <v>793</v>
      </c>
      <c r="J76" s="9">
        <v>4</v>
      </c>
      <c r="K76" s="2">
        <v>2</v>
      </c>
      <c r="L76" s="30">
        <f t="shared" si="8"/>
        <v>38.189803322512887</v>
      </c>
      <c r="M76" s="30">
        <f t="shared" si="9"/>
        <v>152.75921329005155</v>
      </c>
      <c r="T76" s="6" t="s">
        <v>879</v>
      </c>
    </row>
    <row r="77" spans="1:20">
      <c r="E77" s="5" t="s">
        <v>792</v>
      </c>
      <c r="F77" s="83">
        <v>0.5</v>
      </c>
      <c r="G77" s="29" t="s">
        <v>49</v>
      </c>
      <c r="H77" s="85">
        <f t="shared" si="7"/>
        <v>0.125</v>
      </c>
      <c r="K77" s="2">
        <v>0</v>
      </c>
      <c r="L77" s="30">
        <f t="shared" si="8"/>
        <v>0</v>
      </c>
      <c r="M77" s="30">
        <f t="shared" si="9"/>
        <v>0</v>
      </c>
    </row>
    <row r="78" spans="1:20" ht="17.25" thickBot="1">
      <c r="A78" s="93"/>
      <c r="B78" s="93"/>
      <c r="C78" s="72"/>
      <c r="D78" s="93"/>
      <c r="E78" s="140"/>
      <c r="F78" s="87"/>
      <c r="G78" s="81"/>
      <c r="H78" s="86"/>
      <c r="I78" s="93"/>
      <c r="J78" s="93"/>
      <c r="K78" s="97">
        <f>SUM(K66:K77)</f>
        <v>5.2370000000000001</v>
      </c>
      <c r="L78" s="98">
        <f>SUM(L66:L77)</f>
        <v>100</v>
      </c>
      <c r="M78" s="38"/>
      <c r="N78" s="94">
        <f>SUM(M66:M77)</f>
        <v>433.16784418560246</v>
      </c>
      <c r="O78" s="93"/>
      <c r="P78" s="93" t="s">
        <v>192</v>
      </c>
      <c r="Q78" s="95"/>
      <c r="R78" s="96">
        <v>3.75</v>
      </c>
    </row>
    <row r="79" spans="1:20">
      <c r="A79" s="6">
        <v>6</v>
      </c>
      <c r="B79" s="7" t="s">
        <v>794</v>
      </c>
      <c r="C79" s="136" t="s">
        <v>795</v>
      </c>
      <c r="D79" s="29" t="s">
        <v>740</v>
      </c>
      <c r="E79" s="5" t="s">
        <v>796</v>
      </c>
      <c r="F79" s="83">
        <v>1</v>
      </c>
      <c r="G79" s="79" t="s">
        <v>161</v>
      </c>
      <c r="H79" s="85">
        <f t="shared" si="7"/>
        <v>0.25</v>
      </c>
      <c r="I79" s="10"/>
      <c r="J79" s="9"/>
      <c r="K79" s="2">
        <v>0</v>
      </c>
      <c r="L79" s="30">
        <f>K79/5.6*100</f>
        <v>0</v>
      </c>
      <c r="M79" s="30">
        <f t="shared" si="9"/>
        <v>0</v>
      </c>
      <c r="R79" s="91">
        <v>1.25</v>
      </c>
    </row>
    <row r="80" spans="1:20">
      <c r="E80" s="5" t="s">
        <v>169</v>
      </c>
      <c r="F80" s="83">
        <v>1</v>
      </c>
      <c r="G80" s="79" t="s">
        <v>160</v>
      </c>
      <c r="H80" s="85">
        <f t="shared" si="7"/>
        <v>0.25</v>
      </c>
      <c r="I80" s="10"/>
      <c r="J80" s="9"/>
      <c r="K80" s="2">
        <v>0</v>
      </c>
      <c r="L80" s="30">
        <f t="shared" ref="L80:L104" si="10">K80/5.6*100</f>
        <v>0</v>
      </c>
      <c r="M80" s="30">
        <f t="shared" si="9"/>
        <v>0</v>
      </c>
      <c r="R80" s="91">
        <v>3.75</v>
      </c>
    </row>
    <row r="81" spans="2:20">
      <c r="E81" s="5" t="s">
        <v>156</v>
      </c>
      <c r="F81" s="83">
        <v>1</v>
      </c>
      <c r="G81" s="29" t="s">
        <v>163</v>
      </c>
      <c r="H81" s="85">
        <f t="shared" si="7"/>
        <v>0.25</v>
      </c>
      <c r="I81" s="10" t="s">
        <v>14</v>
      </c>
      <c r="J81" s="9">
        <v>5</v>
      </c>
      <c r="K81" s="2">
        <v>0.34</v>
      </c>
      <c r="L81" s="30">
        <f t="shared" si="10"/>
        <v>6.0714285714285721</v>
      </c>
      <c r="M81" s="30">
        <f t="shared" si="9"/>
        <v>30.357142857142861</v>
      </c>
    </row>
    <row r="82" spans="2:20">
      <c r="E82" s="5" t="s">
        <v>546</v>
      </c>
      <c r="F82" s="83">
        <v>1</v>
      </c>
      <c r="G82" s="79" t="s">
        <v>161</v>
      </c>
      <c r="H82" s="85">
        <f t="shared" si="7"/>
        <v>0.25</v>
      </c>
      <c r="I82" s="10"/>
      <c r="J82" s="9"/>
      <c r="K82" s="2">
        <v>0</v>
      </c>
      <c r="L82" s="30">
        <f t="shared" si="10"/>
        <v>0</v>
      </c>
      <c r="M82" s="30">
        <f t="shared" si="9"/>
        <v>0</v>
      </c>
    </row>
    <row r="83" spans="2:20">
      <c r="E83" s="5" t="s">
        <v>797</v>
      </c>
      <c r="F83" s="83">
        <v>0.5</v>
      </c>
      <c r="G83" s="79" t="s">
        <v>161</v>
      </c>
      <c r="H83" s="85">
        <f t="shared" si="7"/>
        <v>0.125</v>
      </c>
      <c r="I83" s="10"/>
      <c r="J83" s="9"/>
      <c r="K83" s="2">
        <v>0</v>
      </c>
      <c r="L83" s="30">
        <f t="shared" si="10"/>
        <v>0</v>
      </c>
      <c r="M83" s="30">
        <f t="shared" si="9"/>
        <v>0</v>
      </c>
    </row>
    <row r="84" spans="2:20">
      <c r="E84" s="5" t="s">
        <v>798</v>
      </c>
      <c r="F84" s="83">
        <v>0.5</v>
      </c>
      <c r="G84" s="79" t="s">
        <v>161</v>
      </c>
      <c r="H84" s="85">
        <f t="shared" si="7"/>
        <v>0.125</v>
      </c>
      <c r="K84" s="2">
        <v>0</v>
      </c>
      <c r="L84" s="30">
        <f t="shared" si="10"/>
        <v>0</v>
      </c>
      <c r="M84" s="30">
        <f t="shared" si="9"/>
        <v>0</v>
      </c>
    </row>
    <row r="85" spans="2:20">
      <c r="E85" s="108" t="s">
        <v>799</v>
      </c>
      <c r="F85" s="83">
        <v>1</v>
      </c>
      <c r="G85" s="29" t="s">
        <v>49</v>
      </c>
      <c r="H85" s="85">
        <f t="shared" si="7"/>
        <v>0.25</v>
      </c>
      <c r="I85" s="10" t="s">
        <v>20</v>
      </c>
      <c r="J85" s="9">
        <v>4</v>
      </c>
      <c r="K85" s="2">
        <f>H85/0.5</f>
        <v>0.5</v>
      </c>
      <c r="L85" s="30">
        <f t="shared" si="10"/>
        <v>8.9285714285714288</v>
      </c>
      <c r="M85" s="30">
        <f t="shared" si="9"/>
        <v>35.714285714285715</v>
      </c>
      <c r="T85" s="6" t="s">
        <v>880</v>
      </c>
    </row>
    <row r="86" spans="2:20">
      <c r="E86" s="5" t="s">
        <v>157</v>
      </c>
      <c r="F86" s="83">
        <v>1.5</v>
      </c>
      <c r="G86" s="29" t="s">
        <v>49</v>
      </c>
      <c r="H86" s="85">
        <f t="shared" si="7"/>
        <v>0.375</v>
      </c>
      <c r="I86" s="10"/>
      <c r="J86" s="9"/>
      <c r="K86" s="2">
        <v>0</v>
      </c>
      <c r="L86" s="30">
        <f t="shared" si="10"/>
        <v>0</v>
      </c>
      <c r="M86" s="30">
        <f t="shared" si="9"/>
        <v>0</v>
      </c>
    </row>
    <row r="87" spans="2:20" s="99" customFormat="1">
      <c r="C87" s="100"/>
      <c r="E87" s="115" t="s">
        <v>800</v>
      </c>
      <c r="F87" s="101">
        <v>0.5</v>
      </c>
      <c r="G87" s="29" t="s">
        <v>49</v>
      </c>
      <c r="H87" s="85">
        <f t="shared" si="7"/>
        <v>0.125</v>
      </c>
      <c r="I87" s="10" t="s">
        <v>135</v>
      </c>
      <c r="J87" s="9">
        <v>2</v>
      </c>
      <c r="K87" s="103">
        <f>H87/0.33</f>
        <v>0.37878787878787878</v>
      </c>
      <c r="L87" s="30">
        <f t="shared" si="10"/>
        <v>6.7640692640692643</v>
      </c>
      <c r="M87" s="30">
        <f t="shared" si="9"/>
        <v>13.528138528138529</v>
      </c>
      <c r="Q87" s="105"/>
      <c r="R87" s="106"/>
    </row>
    <row r="88" spans="2:20" s="99" customFormat="1">
      <c r="C88" s="100"/>
      <c r="E88" s="115" t="s">
        <v>801</v>
      </c>
      <c r="F88" s="101">
        <v>3</v>
      </c>
      <c r="G88" s="29" t="s">
        <v>49</v>
      </c>
      <c r="H88" s="85">
        <f t="shared" si="7"/>
        <v>0.75</v>
      </c>
      <c r="I88" s="10" t="s">
        <v>56</v>
      </c>
      <c r="J88" s="9">
        <v>5</v>
      </c>
      <c r="K88" s="103">
        <v>0.75</v>
      </c>
      <c r="L88" s="30">
        <f t="shared" si="10"/>
        <v>13.392857142857142</v>
      </c>
      <c r="M88" s="30">
        <f t="shared" si="9"/>
        <v>66.964285714285708</v>
      </c>
      <c r="Q88" s="105"/>
      <c r="R88" s="106"/>
    </row>
    <row r="89" spans="2:20" s="99" customFormat="1">
      <c r="C89" s="100"/>
      <c r="E89" s="115" t="s">
        <v>149</v>
      </c>
      <c r="F89" s="101">
        <v>0.5</v>
      </c>
      <c r="G89" s="79" t="s">
        <v>161</v>
      </c>
      <c r="H89" s="85">
        <f t="shared" si="7"/>
        <v>0.125</v>
      </c>
      <c r="I89" s="10"/>
      <c r="J89" s="9"/>
      <c r="K89" s="103">
        <v>0</v>
      </c>
      <c r="L89" s="30">
        <f t="shared" si="10"/>
        <v>0</v>
      </c>
      <c r="M89" s="30">
        <f t="shared" si="9"/>
        <v>0</v>
      </c>
      <c r="Q89" s="105">
        <v>0.39</v>
      </c>
      <c r="R89" s="106"/>
    </row>
    <row r="90" spans="2:20" s="99" customFormat="1">
      <c r="C90" s="100"/>
      <c r="E90" s="115" t="s">
        <v>790</v>
      </c>
      <c r="F90" s="101">
        <v>1</v>
      </c>
      <c r="G90" s="79" t="s">
        <v>160</v>
      </c>
      <c r="H90" s="85">
        <f t="shared" si="7"/>
        <v>0.25</v>
      </c>
      <c r="I90" s="10" t="s">
        <v>56</v>
      </c>
      <c r="J90" s="9">
        <v>5</v>
      </c>
      <c r="K90" s="103">
        <v>1.4999999999999999E-2</v>
      </c>
      <c r="L90" s="30">
        <f t="shared" si="10"/>
        <v>0.26785714285714285</v>
      </c>
      <c r="M90" s="30">
        <f t="shared" si="9"/>
        <v>1.3392857142857142</v>
      </c>
      <c r="Q90" s="105"/>
      <c r="R90" s="106"/>
    </row>
    <row r="91" spans="2:20" s="99" customFormat="1">
      <c r="C91" s="100" t="s">
        <v>890</v>
      </c>
      <c r="D91" s="29" t="s">
        <v>740</v>
      </c>
      <c r="E91" s="115" t="s">
        <v>802</v>
      </c>
      <c r="F91" s="101">
        <v>1.5</v>
      </c>
      <c r="G91" s="52" t="s">
        <v>159</v>
      </c>
      <c r="H91" s="85">
        <f t="shared" si="7"/>
        <v>0.375</v>
      </c>
      <c r="I91" s="10" t="s">
        <v>23</v>
      </c>
      <c r="J91" s="9">
        <v>5</v>
      </c>
      <c r="K91" s="103">
        <v>1.96</v>
      </c>
      <c r="L91" s="30">
        <f t="shared" si="10"/>
        <v>35</v>
      </c>
      <c r="M91" s="30">
        <f t="shared" si="9"/>
        <v>175</v>
      </c>
      <c r="N91" s="104"/>
      <c r="P91" s="52"/>
      <c r="Q91" s="105"/>
      <c r="R91" s="106"/>
    </row>
    <row r="92" spans="2:20" s="99" customFormat="1">
      <c r="B92" s="63"/>
      <c r="C92" s="100"/>
      <c r="E92" s="152" t="s">
        <v>807</v>
      </c>
      <c r="F92" s="101">
        <v>1</v>
      </c>
      <c r="G92" s="79" t="s">
        <v>161</v>
      </c>
      <c r="H92" s="85">
        <f t="shared" si="7"/>
        <v>0.25</v>
      </c>
      <c r="I92" s="10" t="s">
        <v>806</v>
      </c>
      <c r="J92" s="9">
        <v>2</v>
      </c>
      <c r="K92" s="103">
        <v>8.3000000000000004E-2</v>
      </c>
      <c r="L92" s="30">
        <f t="shared" si="10"/>
        <v>1.4821428571428574</v>
      </c>
      <c r="M92" s="30">
        <f t="shared" si="9"/>
        <v>2.9642857142857149</v>
      </c>
      <c r="Q92" s="105"/>
      <c r="R92" s="106"/>
      <c r="T92" s="99" t="s">
        <v>881</v>
      </c>
    </row>
    <row r="93" spans="2:20" s="99" customFormat="1">
      <c r="C93" s="100"/>
      <c r="E93" s="115" t="s">
        <v>639</v>
      </c>
      <c r="F93" s="101">
        <v>0.5</v>
      </c>
      <c r="G93" s="79" t="s">
        <v>161</v>
      </c>
      <c r="H93" s="85">
        <f t="shared" si="7"/>
        <v>0.125</v>
      </c>
      <c r="K93" s="103">
        <v>0</v>
      </c>
      <c r="L93" s="30">
        <f t="shared" si="10"/>
        <v>0</v>
      </c>
      <c r="M93" s="30">
        <f t="shared" si="9"/>
        <v>0</v>
      </c>
      <c r="Q93" s="105"/>
      <c r="R93" s="106"/>
    </row>
    <row r="94" spans="2:20" s="99" customFormat="1">
      <c r="C94" s="100"/>
      <c r="E94" s="115" t="s">
        <v>803</v>
      </c>
      <c r="F94" s="101">
        <v>0.5</v>
      </c>
      <c r="G94" s="79" t="s">
        <v>161</v>
      </c>
      <c r="H94" s="85">
        <f t="shared" si="7"/>
        <v>0.125</v>
      </c>
      <c r="I94" s="10"/>
      <c r="J94" s="9"/>
      <c r="K94" s="103">
        <v>0</v>
      </c>
      <c r="L94" s="30">
        <f t="shared" si="10"/>
        <v>0</v>
      </c>
      <c r="M94" s="30">
        <f t="shared" si="9"/>
        <v>0</v>
      </c>
      <c r="Q94" s="105"/>
      <c r="R94" s="106"/>
    </row>
    <row r="95" spans="2:20" s="99" customFormat="1">
      <c r="C95" s="100"/>
      <c r="E95" s="115" t="s">
        <v>797</v>
      </c>
      <c r="F95" s="101">
        <v>0.5</v>
      </c>
      <c r="G95" s="79" t="s">
        <v>161</v>
      </c>
      <c r="H95" s="85">
        <f t="shared" si="7"/>
        <v>0.125</v>
      </c>
      <c r="I95" s="10"/>
      <c r="J95" s="9"/>
      <c r="K95" s="103">
        <v>0</v>
      </c>
      <c r="L95" s="30">
        <f t="shared" si="10"/>
        <v>0</v>
      </c>
      <c r="M95" s="30">
        <f t="shared" si="9"/>
        <v>0</v>
      </c>
      <c r="Q95" s="105"/>
      <c r="R95" s="106"/>
    </row>
    <row r="96" spans="2:20" s="99" customFormat="1">
      <c r="C96" s="100"/>
      <c r="E96" s="115" t="s">
        <v>169</v>
      </c>
      <c r="F96" s="101">
        <v>1</v>
      </c>
      <c r="G96" s="79" t="s">
        <v>160</v>
      </c>
      <c r="H96" s="85">
        <f t="shared" si="7"/>
        <v>0.25</v>
      </c>
      <c r="I96" s="10"/>
      <c r="J96" s="9"/>
      <c r="K96" s="103">
        <v>0</v>
      </c>
      <c r="L96" s="30">
        <f t="shared" si="10"/>
        <v>0</v>
      </c>
      <c r="M96" s="30">
        <f t="shared" si="9"/>
        <v>0</v>
      </c>
      <c r="Q96" s="105"/>
      <c r="R96" s="106">
        <v>3.75</v>
      </c>
    </row>
    <row r="97" spans="1:20" s="99" customFormat="1">
      <c r="C97" s="100"/>
      <c r="E97" s="115" t="s">
        <v>196</v>
      </c>
      <c r="F97" s="101">
        <v>0.5</v>
      </c>
      <c r="G97" s="29" t="s">
        <v>163</v>
      </c>
      <c r="H97" s="85">
        <f t="shared" si="7"/>
        <v>0.125</v>
      </c>
      <c r="I97" s="10" t="s">
        <v>14</v>
      </c>
      <c r="J97" s="9">
        <v>5</v>
      </c>
      <c r="K97" s="103">
        <v>0.17</v>
      </c>
      <c r="L97" s="30">
        <f t="shared" si="10"/>
        <v>3.035714285714286</v>
      </c>
      <c r="M97" s="30">
        <f t="shared" si="9"/>
        <v>15.178571428571431</v>
      </c>
      <c r="Q97" s="105"/>
      <c r="R97" s="106"/>
    </row>
    <row r="98" spans="1:20" s="99" customFormat="1">
      <c r="C98" s="100"/>
      <c r="E98" s="115" t="s">
        <v>247</v>
      </c>
      <c r="F98" s="101">
        <v>2</v>
      </c>
      <c r="G98" s="29" t="s">
        <v>49</v>
      </c>
      <c r="H98" s="85">
        <f t="shared" si="7"/>
        <v>0.5</v>
      </c>
      <c r="I98" s="10" t="s">
        <v>808</v>
      </c>
      <c r="J98" s="9">
        <v>4</v>
      </c>
      <c r="K98" s="103">
        <v>0.5</v>
      </c>
      <c r="L98" s="30">
        <f t="shared" si="10"/>
        <v>8.9285714285714288</v>
      </c>
      <c r="M98" s="30">
        <f t="shared" si="9"/>
        <v>35.714285714285715</v>
      </c>
      <c r="Q98" s="105"/>
      <c r="R98" s="106"/>
    </row>
    <row r="99" spans="1:20" s="99" customFormat="1">
      <c r="C99" s="100"/>
      <c r="E99" s="115" t="s">
        <v>516</v>
      </c>
      <c r="F99" s="101">
        <v>1</v>
      </c>
      <c r="G99" s="29" t="s">
        <v>49</v>
      </c>
      <c r="H99" s="85">
        <f t="shared" si="7"/>
        <v>0.25</v>
      </c>
      <c r="I99" s="10" t="s">
        <v>808</v>
      </c>
      <c r="J99" s="9">
        <v>4</v>
      </c>
      <c r="K99" s="103">
        <v>0.5</v>
      </c>
      <c r="L99" s="30">
        <f t="shared" si="10"/>
        <v>8.9285714285714288</v>
      </c>
      <c r="M99" s="30">
        <f t="shared" si="9"/>
        <v>35.714285714285715</v>
      </c>
      <c r="Q99" s="105"/>
      <c r="R99" s="106"/>
    </row>
    <row r="100" spans="1:20" s="99" customFormat="1">
      <c r="C100" s="100"/>
      <c r="E100" s="115" t="s">
        <v>804</v>
      </c>
      <c r="F100" s="101">
        <v>1</v>
      </c>
      <c r="G100" s="79" t="s">
        <v>160</v>
      </c>
      <c r="H100" s="85">
        <f t="shared" si="7"/>
        <v>0.25</v>
      </c>
      <c r="K100" s="103">
        <v>0</v>
      </c>
      <c r="L100" s="30">
        <f t="shared" si="10"/>
        <v>0</v>
      </c>
      <c r="M100" s="30">
        <f t="shared" si="9"/>
        <v>0</v>
      </c>
      <c r="Q100" s="105"/>
      <c r="R100" s="106"/>
    </row>
    <row r="101" spans="1:20" s="99" customFormat="1">
      <c r="C101" s="100"/>
      <c r="E101" s="115" t="s">
        <v>175</v>
      </c>
      <c r="F101" s="101">
        <v>1.5</v>
      </c>
      <c r="G101" s="29" t="s">
        <v>163</v>
      </c>
      <c r="H101" s="85">
        <f t="shared" si="7"/>
        <v>0.375</v>
      </c>
      <c r="I101" s="10" t="s">
        <v>809</v>
      </c>
      <c r="J101" s="9">
        <v>5</v>
      </c>
      <c r="K101" s="103">
        <v>0.38</v>
      </c>
      <c r="L101" s="30">
        <f t="shared" si="10"/>
        <v>6.7857142857142865</v>
      </c>
      <c r="M101" s="30">
        <f t="shared" si="9"/>
        <v>33.928571428571431</v>
      </c>
      <c r="Q101" s="105"/>
      <c r="R101" s="106"/>
    </row>
    <row r="102" spans="1:20" s="99" customFormat="1">
      <c r="C102" s="100"/>
      <c r="E102" s="115" t="s">
        <v>230</v>
      </c>
      <c r="F102" s="101">
        <v>1</v>
      </c>
      <c r="G102" s="79" t="s">
        <v>161</v>
      </c>
      <c r="H102" s="85">
        <f t="shared" si="7"/>
        <v>0.25</v>
      </c>
      <c r="I102" s="10"/>
      <c r="J102" s="9"/>
      <c r="K102" s="103">
        <v>0</v>
      </c>
      <c r="L102" s="30">
        <f t="shared" si="10"/>
        <v>0</v>
      </c>
      <c r="M102" s="30">
        <f t="shared" si="9"/>
        <v>0</v>
      </c>
      <c r="Q102" s="105"/>
      <c r="R102" s="106"/>
    </row>
    <row r="103" spans="1:20" s="99" customFormat="1">
      <c r="C103" s="100"/>
      <c r="E103" s="115" t="s">
        <v>149</v>
      </c>
      <c r="F103" s="101">
        <v>0.25</v>
      </c>
      <c r="G103" s="79" t="s">
        <v>161</v>
      </c>
      <c r="H103" s="85">
        <f t="shared" si="7"/>
        <v>6.25E-2</v>
      </c>
      <c r="I103" s="10"/>
      <c r="J103" s="9"/>
      <c r="K103" s="103">
        <v>0</v>
      </c>
      <c r="L103" s="30">
        <f t="shared" si="10"/>
        <v>0</v>
      </c>
      <c r="M103" s="30">
        <f t="shared" si="9"/>
        <v>0</v>
      </c>
      <c r="Q103" s="105">
        <v>0.18</v>
      </c>
      <c r="R103" s="106"/>
    </row>
    <row r="104" spans="1:20" s="99" customFormat="1">
      <c r="C104" s="100"/>
      <c r="E104" s="115" t="s">
        <v>805</v>
      </c>
      <c r="F104" s="101">
        <v>1</v>
      </c>
      <c r="G104" s="79" t="s">
        <v>160</v>
      </c>
      <c r="H104" s="85">
        <f t="shared" si="7"/>
        <v>0.25</v>
      </c>
      <c r="I104" s="10"/>
      <c r="J104" s="9"/>
      <c r="K104" s="103">
        <v>0.05</v>
      </c>
      <c r="L104" s="30">
        <f t="shared" si="10"/>
        <v>0.89285714285714302</v>
      </c>
      <c r="M104" s="30">
        <f t="shared" si="9"/>
        <v>0</v>
      </c>
      <c r="Q104" s="105"/>
      <c r="R104" s="106"/>
    </row>
    <row r="105" spans="1:20" s="99" customFormat="1" ht="17.25" thickBot="1">
      <c r="A105" s="93"/>
      <c r="B105" s="93"/>
      <c r="C105" s="72"/>
      <c r="D105" s="93"/>
      <c r="E105" s="140"/>
      <c r="F105" s="87"/>
      <c r="G105" s="37"/>
      <c r="H105" s="86"/>
      <c r="I105" s="93"/>
      <c r="J105" s="93"/>
      <c r="K105" s="97">
        <f>SUM(K79:K104)</f>
        <v>5.6267878787878782</v>
      </c>
      <c r="L105" s="98">
        <f>SUM(L79:L104)</f>
        <v>100.47835497835499</v>
      </c>
      <c r="M105" s="38"/>
      <c r="N105" s="94">
        <f>SUM(M79:M104)</f>
        <v>446.40313852813858</v>
      </c>
      <c r="O105" s="93"/>
      <c r="P105" s="93" t="s">
        <v>192</v>
      </c>
      <c r="Q105" s="95">
        <f>SUM(Q79:Q104)</f>
        <v>0.57000000000000006</v>
      </c>
      <c r="R105" s="96">
        <f>SUM(R79:R104)</f>
        <v>8.75</v>
      </c>
    </row>
    <row r="106" spans="1:20" s="99" customFormat="1">
      <c r="A106" s="99">
        <v>7</v>
      </c>
      <c r="B106" s="7" t="s">
        <v>810</v>
      </c>
      <c r="C106" s="100" t="s">
        <v>1355</v>
      </c>
      <c r="D106" s="29" t="s">
        <v>740</v>
      </c>
      <c r="E106" s="152" t="s">
        <v>820</v>
      </c>
      <c r="F106" s="101">
        <v>0.5</v>
      </c>
      <c r="G106" s="29" t="s">
        <v>163</v>
      </c>
      <c r="H106" s="85">
        <f>F106/6</f>
        <v>8.3333333333333329E-2</v>
      </c>
      <c r="I106" s="10" t="s">
        <v>819</v>
      </c>
      <c r="J106" s="9">
        <v>4</v>
      </c>
      <c r="K106" s="103">
        <v>1.1599999999999999</v>
      </c>
      <c r="L106" s="30">
        <f>K106/4.199*100</f>
        <v>27.625625148844961</v>
      </c>
      <c r="M106" s="30">
        <f t="shared" si="9"/>
        <v>110.50250059537984</v>
      </c>
      <c r="Q106" s="105"/>
      <c r="R106" s="106"/>
      <c r="T106" s="99" t="s">
        <v>882</v>
      </c>
    </row>
    <row r="107" spans="1:20" s="99" customFormat="1">
      <c r="C107" s="100"/>
      <c r="E107" s="153" t="s">
        <v>811</v>
      </c>
      <c r="F107" s="101">
        <v>2</v>
      </c>
      <c r="G107" s="79" t="s">
        <v>160</v>
      </c>
      <c r="H107" s="85">
        <f t="shared" ref="H107:H113" si="11">F107/6</f>
        <v>0.33333333333333331</v>
      </c>
      <c r="I107" s="10" t="s">
        <v>56</v>
      </c>
      <c r="J107" s="9">
        <v>5</v>
      </c>
      <c r="K107" s="103">
        <v>0.02</v>
      </c>
      <c r="L107" s="30">
        <f t="shared" ref="L107:L122" si="12">K107/4.199*100</f>
        <v>0.4763038818766373</v>
      </c>
      <c r="M107" s="30">
        <f t="shared" si="9"/>
        <v>2.3815194093831864</v>
      </c>
      <c r="Q107" s="105"/>
      <c r="R107" s="106"/>
    </row>
    <row r="108" spans="1:20" s="99" customFormat="1">
      <c r="C108" s="100"/>
      <c r="E108" s="115" t="s">
        <v>812</v>
      </c>
      <c r="F108" s="101">
        <v>1</v>
      </c>
      <c r="G108" s="79" t="s">
        <v>160</v>
      </c>
      <c r="H108" s="85">
        <f t="shared" si="11"/>
        <v>0.16666666666666666</v>
      </c>
      <c r="I108" s="10" t="s">
        <v>56</v>
      </c>
      <c r="J108" s="9">
        <v>5</v>
      </c>
      <c r="K108" s="103">
        <v>0.01</v>
      </c>
      <c r="L108" s="30">
        <f t="shared" si="12"/>
        <v>0.23815194093831865</v>
      </c>
      <c r="M108" s="30">
        <f t="shared" si="9"/>
        <v>1.1907597046915932</v>
      </c>
      <c r="Q108" s="105"/>
      <c r="R108" s="106"/>
    </row>
    <row r="109" spans="1:20" s="99" customFormat="1">
      <c r="C109" s="100"/>
      <c r="E109" s="115" t="s">
        <v>197</v>
      </c>
      <c r="F109" s="101">
        <v>2</v>
      </c>
      <c r="G109" s="29" t="s">
        <v>163</v>
      </c>
      <c r="H109" s="85">
        <f t="shared" si="11"/>
        <v>0.33333333333333331</v>
      </c>
      <c r="I109" s="10" t="s">
        <v>809</v>
      </c>
      <c r="J109" s="9">
        <v>5</v>
      </c>
      <c r="K109" s="103">
        <v>0.33</v>
      </c>
      <c r="L109" s="30">
        <f t="shared" si="12"/>
        <v>7.8590140509645163</v>
      </c>
      <c r="M109" s="30">
        <f t="shared" si="9"/>
        <v>39.295070254822583</v>
      </c>
      <c r="Q109" s="105"/>
      <c r="R109" s="106"/>
    </row>
    <row r="110" spans="1:20" s="99" customFormat="1">
      <c r="C110" s="100"/>
      <c r="E110" s="115" t="s">
        <v>813</v>
      </c>
      <c r="F110" s="101">
        <v>3</v>
      </c>
      <c r="G110" s="29" t="s">
        <v>163</v>
      </c>
      <c r="H110" s="85">
        <f t="shared" si="11"/>
        <v>0.5</v>
      </c>
      <c r="I110" s="10" t="s">
        <v>26</v>
      </c>
      <c r="J110" s="9">
        <v>4</v>
      </c>
      <c r="K110" s="103">
        <v>0.25</v>
      </c>
      <c r="L110" s="30">
        <f t="shared" si="12"/>
        <v>5.9537985234579667</v>
      </c>
      <c r="M110" s="30">
        <f t="shared" si="9"/>
        <v>23.815194093831867</v>
      </c>
      <c r="Q110" s="105"/>
      <c r="R110" s="106"/>
    </row>
    <row r="111" spans="1:20" s="99" customFormat="1">
      <c r="C111" s="100"/>
      <c r="E111" s="152" t="s">
        <v>814</v>
      </c>
      <c r="F111" s="101">
        <v>0.5</v>
      </c>
      <c r="G111" s="29" t="s">
        <v>49</v>
      </c>
      <c r="H111" s="85">
        <f t="shared" si="11"/>
        <v>8.3333333333333329E-2</v>
      </c>
      <c r="I111" s="10" t="s">
        <v>23</v>
      </c>
      <c r="J111" s="9">
        <v>5</v>
      </c>
      <c r="K111" s="103">
        <v>0.08</v>
      </c>
      <c r="L111" s="30">
        <f t="shared" si="12"/>
        <v>1.9052155275065492</v>
      </c>
      <c r="M111" s="30">
        <f t="shared" si="9"/>
        <v>9.5260776375327456</v>
      </c>
      <c r="Q111" s="105"/>
      <c r="R111" s="106"/>
      <c r="T111" s="99" t="s">
        <v>883</v>
      </c>
    </row>
    <row r="112" spans="1:20" s="99" customFormat="1">
      <c r="C112" s="100"/>
      <c r="E112" s="115" t="s">
        <v>169</v>
      </c>
      <c r="F112" s="101">
        <v>1</v>
      </c>
      <c r="G112" s="79" t="s">
        <v>161</v>
      </c>
      <c r="H112" s="85">
        <f t="shared" si="11"/>
        <v>0.16666666666666666</v>
      </c>
      <c r="I112" s="10"/>
      <c r="J112" s="9"/>
      <c r="K112" s="103">
        <v>0</v>
      </c>
      <c r="L112" s="30">
        <f t="shared" si="12"/>
        <v>0</v>
      </c>
      <c r="M112" s="30">
        <f t="shared" si="9"/>
        <v>0</v>
      </c>
      <c r="Q112" s="105"/>
      <c r="R112" s="106">
        <v>0.85</v>
      </c>
    </row>
    <row r="113" spans="1:20" s="99" customFormat="1">
      <c r="C113" s="100"/>
      <c r="E113" s="115" t="s">
        <v>205</v>
      </c>
      <c r="F113" s="101">
        <v>2</v>
      </c>
      <c r="G113" s="79" t="s">
        <v>161</v>
      </c>
      <c r="H113" s="85">
        <f t="shared" si="11"/>
        <v>0.33333333333333331</v>
      </c>
      <c r="K113" s="103">
        <v>0</v>
      </c>
      <c r="L113" s="30">
        <f t="shared" si="12"/>
        <v>0</v>
      </c>
      <c r="M113" s="30">
        <f t="shared" si="9"/>
        <v>0</v>
      </c>
      <c r="N113" s="104"/>
      <c r="Q113" s="105"/>
      <c r="R113" s="106"/>
    </row>
    <row r="114" spans="1:20" s="99" customFormat="1">
      <c r="B114" s="63"/>
      <c r="C114" s="100" t="s">
        <v>815</v>
      </c>
      <c r="D114" s="29" t="s">
        <v>740</v>
      </c>
      <c r="E114" s="154" t="s">
        <v>816</v>
      </c>
      <c r="F114" s="101">
        <v>1</v>
      </c>
      <c r="G114" s="29" t="s">
        <v>163</v>
      </c>
      <c r="H114" s="85">
        <f>F114/4</f>
        <v>0.25</v>
      </c>
      <c r="I114" s="10" t="s">
        <v>14</v>
      </c>
      <c r="J114" s="9">
        <v>5</v>
      </c>
      <c r="K114" s="103">
        <v>0.25</v>
      </c>
      <c r="L114" s="30">
        <f t="shared" si="12"/>
        <v>5.9537985234579667</v>
      </c>
      <c r="M114" s="30">
        <f t="shared" si="9"/>
        <v>29.768992617289832</v>
      </c>
      <c r="Q114" s="105"/>
      <c r="R114" s="106"/>
      <c r="T114" s="99" t="s">
        <v>883</v>
      </c>
    </row>
    <row r="115" spans="1:20" s="99" customFormat="1">
      <c r="C115" s="100"/>
      <c r="E115" s="115" t="s">
        <v>822</v>
      </c>
      <c r="F115" s="101">
        <v>1</v>
      </c>
      <c r="G115" s="29" t="s">
        <v>163</v>
      </c>
      <c r="H115" s="85">
        <f t="shared" ref="H115:H135" si="13">F115/4</f>
        <v>0.25</v>
      </c>
      <c r="I115" s="10" t="s">
        <v>821</v>
      </c>
      <c r="J115" s="9">
        <v>5</v>
      </c>
      <c r="K115" s="103">
        <v>0.25</v>
      </c>
      <c r="L115" s="30">
        <f t="shared" si="12"/>
        <v>5.9537985234579667</v>
      </c>
      <c r="M115" s="30">
        <f t="shared" si="9"/>
        <v>29.768992617289832</v>
      </c>
      <c r="Q115" s="105"/>
      <c r="R115" s="106"/>
    </row>
    <row r="116" spans="1:20" s="99" customFormat="1">
      <c r="C116" s="100"/>
      <c r="E116" s="115" t="s">
        <v>256</v>
      </c>
      <c r="F116" s="101">
        <v>2</v>
      </c>
      <c r="G116" s="29" t="s">
        <v>163</v>
      </c>
      <c r="H116" s="85">
        <f t="shared" si="13"/>
        <v>0.5</v>
      </c>
      <c r="I116" s="10" t="s">
        <v>26</v>
      </c>
      <c r="J116" s="9">
        <v>4</v>
      </c>
      <c r="K116" s="103">
        <v>1.28</v>
      </c>
      <c r="L116" s="30">
        <f t="shared" si="12"/>
        <v>30.483448440104787</v>
      </c>
      <c r="M116" s="30">
        <f t="shared" si="9"/>
        <v>121.93379376041915</v>
      </c>
      <c r="Q116" s="105"/>
      <c r="R116" s="106"/>
    </row>
    <row r="117" spans="1:20" s="99" customFormat="1">
      <c r="C117" s="100"/>
      <c r="E117" s="115" t="s">
        <v>817</v>
      </c>
      <c r="F117" s="101">
        <v>2</v>
      </c>
      <c r="G117" s="79" t="s">
        <v>160</v>
      </c>
      <c r="H117" s="85">
        <f t="shared" si="13"/>
        <v>0.5</v>
      </c>
      <c r="I117" s="10" t="s">
        <v>821</v>
      </c>
      <c r="J117" s="9">
        <v>5</v>
      </c>
      <c r="K117" s="103">
        <f>H117/2</f>
        <v>0.25</v>
      </c>
      <c r="L117" s="30">
        <f t="shared" si="12"/>
        <v>5.9537985234579667</v>
      </c>
      <c r="M117" s="30">
        <f t="shared" si="9"/>
        <v>29.768992617289832</v>
      </c>
      <c r="Q117" s="105"/>
      <c r="R117" s="106"/>
    </row>
    <row r="118" spans="1:20" s="99" customFormat="1">
      <c r="C118" s="100"/>
      <c r="E118" s="115" t="s">
        <v>169</v>
      </c>
      <c r="F118" s="101">
        <v>1</v>
      </c>
      <c r="G118" s="79" t="s">
        <v>160</v>
      </c>
      <c r="H118" s="85">
        <f t="shared" si="13"/>
        <v>0.25</v>
      </c>
      <c r="K118" s="103">
        <v>0</v>
      </c>
      <c r="L118" s="30">
        <f t="shared" si="12"/>
        <v>0</v>
      </c>
      <c r="M118" s="30">
        <f t="shared" si="9"/>
        <v>0</v>
      </c>
      <c r="Q118" s="105"/>
      <c r="R118" s="106">
        <v>3.75</v>
      </c>
    </row>
    <row r="119" spans="1:20" s="99" customFormat="1">
      <c r="C119" s="100"/>
      <c r="E119" s="115" t="s">
        <v>456</v>
      </c>
      <c r="F119" s="101">
        <v>1</v>
      </c>
      <c r="G119" s="79" t="s">
        <v>161</v>
      </c>
      <c r="H119" s="85">
        <f t="shared" si="13"/>
        <v>0.25</v>
      </c>
      <c r="K119" s="103">
        <v>0</v>
      </c>
      <c r="L119" s="30">
        <f t="shared" si="12"/>
        <v>0</v>
      </c>
      <c r="M119" s="30">
        <f t="shared" si="9"/>
        <v>0</v>
      </c>
      <c r="Q119" s="105"/>
      <c r="R119" s="106"/>
    </row>
    <row r="120" spans="1:20" s="99" customFormat="1">
      <c r="C120" s="100"/>
      <c r="E120" s="115" t="s">
        <v>823</v>
      </c>
      <c r="F120" s="101">
        <v>0.5</v>
      </c>
      <c r="G120" s="29" t="s">
        <v>49</v>
      </c>
      <c r="H120" s="85">
        <f t="shared" si="13"/>
        <v>0.125</v>
      </c>
      <c r="I120" s="10" t="s">
        <v>821</v>
      </c>
      <c r="J120" s="9">
        <v>5</v>
      </c>
      <c r="K120" s="103">
        <f>H120/0.5</f>
        <v>0.25</v>
      </c>
      <c r="L120" s="30">
        <f t="shared" si="12"/>
        <v>5.9537985234579667</v>
      </c>
      <c r="M120" s="30">
        <f t="shared" si="9"/>
        <v>29.768992617289832</v>
      </c>
      <c r="Q120" s="105"/>
      <c r="R120" s="106"/>
    </row>
    <row r="121" spans="1:20" s="99" customFormat="1">
      <c r="C121" s="100"/>
      <c r="E121" s="115" t="s">
        <v>818</v>
      </c>
      <c r="F121" s="101">
        <v>2</v>
      </c>
      <c r="G121" s="79" t="s">
        <v>160</v>
      </c>
      <c r="H121" s="85">
        <f t="shared" si="13"/>
        <v>0.5</v>
      </c>
      <c r="I121" s="10"/>
      <c r="J121" s="9"/>
      <c r="K121" s="103">
        <v>0</v>
      </c>
      <c r="L121" s="30">
        <f t="shared" si="12"/>
        <v>0</v>
      </c>
      <c r="M121" s="30">
        <f t="shared" si="9"/>
        <v>0</v>
      </c>
      <c r="Q121" s="105"/>
      <c r="R121" s="106"/>
    </row>
    <row r="122" spans="1:20" s="99" customFormat="1">
      <c r="C122" s="100"/>
      <c r="E122" s="115" t="s">
        <v>211</v>
      </c>
      <c r="F122" s="101">
        <v>4</v>
      </c>
      <c r="G122" s="29" t="s">
        <v>163</v>
      </c>
      <c r="H122" s="102">
        <f t="shared" si="13"/>
        <v>1</v>
      </c>
      <c r="I122" s="10" t="s">
        <v>56</v>
      </c>
      <c r="J122" s="9">
        <v>5</v>
      </c>
      <c r="K122" s="103">
        <f>H122/14.4</f>
        <v>6.9444444444444448E-2</v>
      </c>
      <c r="L122" s="30">
        <f t="shared" si="12"/>
        <v>1.6538329231827686</v>
      </c>
      <c r="M122" s="30">
        <f t="shared" si="9"/>
        <v>8.2691646159138426</v>
      </c>
      <c r="Q122" s="105"/>
      <c r="R122" s="106"/>
    </row>
    <row r="123" spans="1:20" s="99" customFormat="1" ht="17.25" thickBot="1">
      <c r="A123" s="93"/>
      <c r="B123" s="93"/>
      <c r="C123" s="72"/>
      <c r="D123" s="93"/>
      <c r="E123" s="140"/>
      <c r="F123" s="87"/>
      <c r="G123" s="112"/>
      <c r="H123" s="86"/>
      <c r="I123" s="44"/>
      <c r="J123" s="132"/>
      <c r="K123" s="97">
        <f>SUM(K106:K122)</f>
        <v>4.1994444444444445</v>
      </c>
      <c r="L123" s="98">
        <f>SUM(L106:L122)</f>
        <v>100.01058453070837</v>
      </c>
      <c r="M123" s="38"/>
      <c r="N123" s="94">
        <f>SUM(M106:M122)</f>
        <v>435.99005054113411</v>
      </c>
      <c r="O123" s="93"/>
      <c r="P123" s="93" t="s">
        <v>192</v>
      </c>
      <c r="Q123" s="95">
        <v>0</v>
      </c>
      <c r="R123" s="96">
        <f>SUM(R106:R122)</f>
        <v>4.5999999999999996</v>
      </c>
    </row>
    <row r="124" spans="1:20" s="99" customFormat="1">
      <c r="A124" s="99">
        <v>8</v>
      </c>
      <c r="B124" s="7" t="s">
        <v>824</v>
      </c>
      <c r="C124" s="100" t="s">
        <v>891</v>
      </c>
      <c r="D124" s="29" t="s">
        <v>740</v>
      </c>
      <c r="E124" s="115" t="s">
        <v>825</v>
      </c>
      <c r="F124" s="101">
        <v>1.5</v>
      </c>
      <c r="G124" s="29" t="s">
        <v>163</v>
      </c>
      <c r="H124" s="85">
        <f t="shared" si="13"/>
        <v>0.375</v>
      </c>
      <c r="I124" s="10" t="s">
        <v>26</v>
      </c>
      <c r="J124" s="9">
        <v>4</v>
      </c>
      <c r="K124" s="103">
        <v>0.95</v>
      </c>
      <c r="L124" s="30">
        <f>K124/6.224*100</f>
        <v>15.263496143958868</v>
      </c>
      <c r="M124" s="30">
        <f t="shared" si="9"/>
        <v>61.053984575835472</v>
      </c>
      <c r="Q124" s="105"/>
      <c r="R124" s="106"/>
    </row>
    <row r="125" spans="1:20" s="99" customFormat="1">
      <c r="C125" s="100"/>
      <c r="E125" s="115" t="s">
        <v>826</v>
      </c>
      <c r="F125" s="101">
        <v>0.5</v>
      </c>
      <c r="G125" s="29" t="s">
        <v>49</v>
      </c>
      <c r="H125" s="85">
        <f t="shared" si="13"/>
        <v>0.125</v>
      </c>
      <c r="I125" s="10" t="s">
        <v>23</v>
      </c>
      <c r="J125" s="9">
        <v>5</v>
      </c>
      <c r="K125" s="103">
        <v>0.13</v>
      </c>
      <c r="L125" s="30">
        <f t="shared" ref="L125:L145" si="14">K125/6.224*100</f>
        <v>2.0886889460154245</v>
      </c>
      <c r="M125" s="30">
        <f t="shared" si="9"/>
        <v>10.443444730077122</v>
      </c>
      <c r="Q125" s="105"/>
      <c r="R125" s="106"/>
    </row>
    <row r="126" spans="1:20" s="99" customFormat="1">
      <c r="C126" s="100"/>
      <c r="E126" s="115" t="s">
        <v>1361</v>
      </c>
      <c r="F126" s="101">
        <v>1.5</v>
      </c>
      <c r="G126" s="29" t="s">
        <v>49</v>
      </c>
      <c r="H126" s="85">
        <f t="shared" si="13"/>
        <v>0.375</v>
      </c>
      <c r="I126" s="10" t="s">
        <v>56</v>
      </c>
      <c r="J126" s="9">
        <v>5</v>
      </c>
      <c r="K126" s="103">
        <v>0.38</v>
      </c>
      <c r="L126" s="30">
        <f t="shared" si="14"/>
        <v>6.1053984575835472</v>
      </c>
      <c r="M126" s="30">
        <f t="shared" si="9"/>
        <v>30.526992287917736</v>
      </c>
      <c r="Q126" s="105"/>
      <c r="R126" s="106"/>
    </row>
    <row r="127" spans="1:20" s="99" customFormat="1">
      <c r="C127" s="100"/>
      <c r="E127" s="115" t="s">
        <v>827</v>
      </c>
      <c r="F127" s="101">
        <v>0.5</v>
      </c>
      <c r="G127" s="29" t="s">
        <v>49</v>
      </c>
      <c r="H127" s="85">
        <f t="shared" si="13"/>
        <v>0.125</v>
      </c>
      <c r="I127" s="10" t="s">
        <v>14</v>
      </c>
      <c r="J127" s="9">
        <v>5</v>
      </c>
      <c r="K127" s="103">
        <v>0.13</v>
      </c>
      <c r="L127" s="30">
        <f t="shared" si="14"/>
        <v>2.0886889460154245</v>
      </c>
      <c r="M127" s="30">
        <f t="shared" si="9"/>
        <v>10.443444730077122</v>
      </c>
      <c r="Q127" s="105"/>
      <c r="R127" s="106"/>
    </row>
    <row r="128" spans="1:20" s="99" customFormat="1">
      <c r="C128" s="100"/>
      <c r="E128" s="115" t="s">
        <v>828</v>
      </c>
      <c r="F128" s="101">
        <v>1</v>
      </c>
      <c r="G128" s="29" t="s">
        <v>49</v>
      </c>
      <c r="H128" s="85">
        <f t="shared" si="13"/>
        <v>0.25</v>
      </c>
      <c r="I128" s="10" t="s">
        <v>22</v>
      </c>
      <c r="J128" s="9">
        <v>5</v>
      </c>
      <c r="K128" s="103">
        <v>0.25</v>
      </c>
      <c r="L128" s="30">
        <f t="shared" si="14"/>
        <v>4.0167095115681235</v>
      </c>
      <c r="M128" s="30">
        <f t="shared" si="9"/>
        <v>20.083547557840618</v>
      </c>
      <c r="Q128" s="105"/>
      <c r="R128" s="106"/>
    </row>
    <row r="129" spans="2:20" s="99" customFormat="1">
      <c r="C129" s="100"/>
      <c r="E129" s="115" t="s">
        <v>829</v>
      </c>
      <c r="F129" s="101">
        <v>1.5</v>
      </c>
      <c r="G129" s="29" t="s">
        <v>49</v>
      </c>
      <c r="H129" s="85">
        <f t="shared" si="13"/>
        <v>0.375</v>
      </c>
      <c r="I129" s="10" t="s">
        <v>839</v>
      </c>
      <c r="J129" s="9">
        <v>4</v>
      </c>
      <c r="K129" s="103">
        <v>0.38</v>
      </c>
      <c r="L129" s="30">
        <f t="shared" si="14"/>
        <v>6.1053984575835472</v>
      </c>
      <c r="M129" s="30">
        <f t="shared" si="9"/>
        <v>24.421593830334189</v>
      </c>
      <c r="N129" s="104"/>
      <c r="Q129" s="105"/>
      <c r="R129" s="106"/>
    </row>
    <row r="130" spans="2:20" s="99" customFormat="1">
      <c r="B130" s="63"/>
      <c r="C130" s="100"/>
      <c r="E130" s="115" t="s">
        <v>224</v>
      </c>
      <c r="F130" s="101">
        <v>1</v>
      </c>
      <c r="G130" s="79" t="s">
        <v>160</v>
      </c>
      <c r="H130" s="85">
        <f t="shared" si="13"/>
        <v>0.25</v>
      </c>
      <c r="I130" s="10" t="s">
        <v>16</v>
      </c>
      <c r="J130" s="9">
        <v>5</v>
      </c>
      <c r="K130" s="103">
        <v>0.75</v>
      </c>
      <c r="L130" s="30">
        <f t="shared" si="14"/>
        <v>12.050128534704371</v>
      </c>
      <c r="M130" s="30">
        <f t="shared" si="9"/>
        <v>60.250642673521853</v>
      </c>
      <c r="Q130" s="105"/>
      <c r="R130" s="106"/>
    </row>
    <row r="131" spans="2:20" s="99" customFormat="1">
      <c r="C131" s="100"/>
      <c r="E131" s="115" t="s">
        <v>830</v>
      </c>
      <c r="F131" s="101">
        <v>1</v>
      </c>
      <c r="G131" s="79" t="s">
        <v>160</v>
      </c>
      <c r="H131" s="85">
        <f t="shared" si="13"/>
        <v>0.25</v>
      </c>
      <c r="I131" s="10" t="s">
        <v>56</v>
      </c>
      <c r="J131" s="9">
        <v>5</v>
      </c>
      <c r="K131" s="103">
        <v>1.4999999999999999E-2</v>
      </c>
      <c r="L131" s="30">
        <f t="shared" si="14"/>
        <v>0.2410025706940874</v>
      </c>
      <c r="M131" s="30">
        <f t="shared" si="9"/>
        <v>1.205012853470437</v>
      </c>
      <c r="Q131" s="105"/>
      <c r="R131" s="106"/>
    </row>
    <row r="132" spans="2:20" s="99" customFormat="1">
      <c r="C132" s="100"/>
      <c r="E132" s="115" t="s">
        <v>840</v>
      </c>
      <c r="F132" s="101">
        <v>1.5</v>
      </c>
      <c r="G132" s="79" t="s">
        <v>160</v>
      </c>
      <c r="H132" s="85">
        <f t="shared" si="13"/>
        <v>0.375</v>
      </c>
      <c r="I132" s="10" t="s">
        <v>135</v>
      </c>
      <c r="J132" s="9">
        <v>2</v>
      </c>
      <c r="K132" s="103">
        <v>0.38</v>
      </c>
      <c r="L132" s="30">
        <f t="shared" si="14"/>
        <v>6.1053984575835472</v>
      </c>
      <c r="M132" s="30">
        <f t="shared" ref="M132:M177" si="15">L132*J132</f>
        <v>12.210796915167094</v>
      </c>
      <c r="Q132" s="105"/>
      <c r="R132" s="106"/>
    </row>
    <row r="133" spans="2:20" s="99" customFormat="1">
      <c r="C133" s="100"/>
      <c r="E133" s="152" t="s">
        <v>841</v>
      </c>
      <c r="F133" s="101">
        <v>1.5</v>
      </c>
      <c r="G133" s="29" t="s">
        <v>831</v>
      </c>
      <c r="H133" s="85">
        <f t="shared" si="13"/>
        <v>0.375</v>
      </c>
      <c r="I133" s="10" t="s">
        <v>20</v>
      </c>
      <c r="J133" s="9">
        <v>4</v>
      </c>
      <c r="K133" s="103">
        <f>H133/0.5</f>
        <v>0.75</v>
      </c>
      <c r="L133" s="30">
        <f t="shared" si="14"/>
        <v>12.050128534704371</v>
      </c>
      <c r="M133" s="30">
        <f t="shared" si="15"/>
        <v>48.200514138817482</v>
      </c>
      <c r="Q133" s="105"/>
      <c r="R133" s="106"/>
      <c r="T133" s="99" t="s">
        <v>884</v>
      </c>
    </row>
    <row r="134" spans="2:20" s="99" customFormat="1">
      <c r="C134" s="100"/>
      <c r="E134" s="115" t="s">
        <v>832</v>
      </c>
      <c r="F134" s="101">
        <v>2</v>
      </c>
      <c r="G134" s="79" t="s">
        <v>161</v>
      </c>
      <c r="H134" s="85">
        <f t="shared" si="13"/>
        <v>0.5</v>
      </c>
      <c r="I134" s="10"/>
      <c r="J134" s="9"/>
      <c r="K134" s="103">
        <v>0</v>
      </c>
      <c r="L134" s="30">
        <f t="shared" si="14"/>
        <v>0</v>
      </c>
      <c r="M134" s="30">
        <f t="shared" si="15"/>
        <v>0</v>
      </c>
      <c r="Q134" s="105"/>
      <c r="R134" s="106">
        <v>2.5</v>
      </c>
    </row>
    <row r="135" spans="2:20" s="99" customFormat="1">
      <c r="C135" s="100"/>
      <c r="E135" s="115" t="s">
        <v>775</v>
      </c>
      <c r="F135" s="101">
        <v>2</v>
      </c>
      <c r="G135" s="79" t="s">
        <v>161</v>
      </c>
      <c r="H135" s="85">
        <f t="shared" si="13"/>
        <v>0.5</v>
      </c>
      <c r="K135" s="103">
        <v>0</v>
      </c>
      <c r="L135" s="30">
        <f t="shared" si="14"/>
        <v>0</v>
      </c>
      <c r="M135" s="30">
        <f t="shared" si="15"/>
        <v>0</v>
      </c>
      <c r="Q135" s="105">
        <v>0.15</v>
      </c>
      <c r="R135" s="106"/>
    </row>
    <row r="136" spans="2:20" s="99" customFormat="1">
      <c r="C136" s="100" t="s">
        <v>833</v>
      </c>
      <c r="D136" s="29" t="s">
        <v>740</v>
      </c>
      <c r="E136" s="115" t="s">
        <v>213</v>
      </c>
      <c r="F136" s="101">
        <v>0.33</v>
      </c>
      <c r="G136" s="29" t="s">
        <v>831</v>
      </c>
      <c r="H136" s="85">
        <f>F136/6</f>
        <v>5.5E-2</v>
      </c>
      <c r="I136" s="10" t="s">
        <v>821</v>
      </c>
      <c r="J136" s="9">
        <v>5</v>
      </c>
      <c r="K136" s="103">
        <f>0.24/0.5</f>
        <v>0.48</v>
      </c>
      <c r="L136" s="30">
        <f t="shared" si="14"/>
        <v>7.7120822622107967</v>
      </c>
      <c r="M136" s="30">
        <f t="shared" si="15"/>
        <v>38.560411311053983</v>
      </c>
      <c r="Q136" s="105"/>
      <c r="R136" s="106"/>
    </row>
    <row r="137" spans="2:20" s="99" customFormat="1">
      <c r="C137" s="100"/>
      <c r="E137" s="115" t="s">
        <v>842</v>
      </c>
      <c r="F137" s="101">
        <v>3</v>
      </c>
      <c r="G137" s="79" t="s">
        <v>160</v>
      </c>
      <c r="H137" s="85">
        <f t="shared" ref="H137:H156" si="16">F137/6</f>
        <v>0.5</v>
      </c>
      <c r="I137" s="10" t="s">
        <v>135</v>
      </c>
      <c r="J137" s="9">
        <v>2</v>
      </c>
      <c r="K137" s="103">
        <f>1/6</f>
        <v>0.16666666666666666</v>
      </c>
      <c r="L137" s="30">
        <f t="shared" si="14"/>
        <v>2.6778063410454154</v>
      </c>
      <c r="M137" s="30">
        <f t="shared" si="15"/>
        <v>5.3556126820908307</v>
      </c>
      <c r="Q137" s="105"/>
      <c r="R137" s="106"/>
    </row>
    <row r="138" spans="2:20" s="99" customFormat="1">
      <c r="C138" s="100"/>
      <c r="E138" s="115" t="s">
        <v>834</v>
      </c>
      <c r="F138" s="101">
        <v>1</v>
      </c>
      <c r="G138" s="79" t="s">
        <v>160</v>
      </c>
      <c r="H138" s="85">
        <f t="shared" si="16"/>
        <v>0.16666666666666666</v>
      </c>
      <c r="I138" s="10" t="s">
        <v>843</v>
      </c>
      <c r="J138" s="9">
        <v>4</v>
      </c>
      <c r="K138" s="103">
        <f>H138/3</f>
        <v>5.5555555555555552E-2</v>
      </c>
      <c r="L138" s="30">
        <f t="shared" si="14"/>
        <v>0.89260211368180509</v>
      </c>
      <c r="M138" s="30">
        <f t="shared" si="15"/>
        <v>3.5704084547272203</v>
      </c>
      <c r="Q138" s="105"/>
      <c r="R138" s="106"/>
    </row>
    <row r="139" spans="2:20" s="99" customFormat="1">
      <c r="C139" s="100"/>
      <c r="E139" s="115" t="s">
        <v>835</v>
      </c>
      <c r="F139" s="101">
        <v>1</v>
      </c>
      <c r="G139" s="79" t="s">
        <v>160</v>
      </c>
      <c r="H139" s="85">
        <f t="shared" si="16"/>
        <v>0.16666666666666666</v>
      </c>
      <c r="K139" s="103">
        <v>0</v>
      </c>
      <c r="L139" s="30">
        <f t="shared" si="14"/>
        <v>0</v>
      </c>
      <c r="M139" s="30">
        <f t="shared" si="15"/>
        <v>0</v>
      </c>
      <c r="Q139" s="105"/>
      <c r="R139" s="106"/>
    </row>
    <row r="140" spans="2:20" s="99" customFormat="1">
      <c r="C140" s="100"/>
      <c r="E140" s="115" t="s">
        <v>836</v>
      </c>
      <c r="F140" s="101">
        <v>0.5</v>
      </c>
      <c r="G140" s="79" t="s">
        <v>161</v>
      </c>
      <c r="H140" s="85">
        <f t="shared" si="16"/>
        <v>8.3333333333333329E-2</v>
      </c>
      <c r="I140" s="10"/>
      <c r="J140" s="9"/>
      <c r="K140" s="103">
        <v>0</v>
      </c>
      <c r="L140" s="30">
        <f t="shared" si="14"/>
        <v>0</v>
      </c>
      <c r="M140" s="30">
        <f t="shared" si="15"/>
        <v>0</v>
      </c>
      <c r="Q140" s="105"/>
      <c r="R140" s="106"/>
    </row>
    <row r="141" spans="2:20" s="99" customFormat="1">
      <c r="C141" s="100"/>
      <c r="E141" s="115" t="s">
        <v>837</v>
      </c>
      <c r="F141" s="101">
        <f>1/8</f>
        <v>0.125</v>
      </c>
      <c r="G141" s="79" t="s">
        <v>161</v>
      </c>
      <c r="H141" s="85">
        <f t="shared" si="16"/>
        <v>2.0833333333333332E-2</v>
      </c>
      <c r="I141" s="10"/>
      <c r="J141" s="9"/>
      <c r="K141" s="103">
        <v>0</v>
      </c>
      <c r="L141" s="30">
        <f t="shared" si="14"/>
        <v>0</v>
      </c>
      <c r="M141" s="30">
        <f t="shared" si="15"/>
        <v>0</v>
      </c>
      <c r="Q141" s="105"/>
      <c r="R141" s="106"/>
    </row>
    <row r="142" spans="2:20" s="99" customFormat="1">
      <c r="C142" s="100"/>
      <c r="E142" s="115" t="s">
        <v>216</v>
      </c>
      <c r="F142" s="101">
        <v>6</v>
      </c>
      <c r="G142" s="29" t="s">
        <v>163</v>
      </c>
      <c r="H142" s="85">
        <f t="shared" si="16"/>
        <v>1</v>
      </c>
      <c r="I142" s="10" t="s">
        <v>821</v>
      </c>
      <c r="J142" s="9">
        <v>5</v>
      </c>
      <c r="K142" s="103">
        <v>1</v>
      </c>
      <c r="L142" s="30">
        <f t="shared" si="14"/>
        <v>16.066838046272494</v>
      </c>
      <c r="M142" s="30">
        <f t="shared" si="15"/>
        <v>80.33419023136247</v>
      </c>
      <c r="Q142" s="105"/>
      <c r="R142" s="106"/>
    </row>
    <row r="143" spans="2:20" s="99" customFormat="1">
      <c r="C143" s="100"/>
      <c r="E143" s="115" t="s">
        <v>218</v>
      </c>
      <c r="F143" s="101">
        <v>0.5</v>
      </c>
      <c r="G143" s="29" t="s">
        <v>831</v>
      </c>
      <c r="H143" s="85">
        <f t="shared" si="16"/>
        <v>8.3333333333333329E-2</v>
      </c>
      <c r="I143" s="10" t="s">
        <v>821</v>
      </c>
      <c r="J143" s="9">
        <v>5</v>
      </c>
      <c r="K143" s="103">
        <f>H143/0.5</f>
        <v>0.16666666666666666</v>
      </c>
      <c r="L143" s="30">
        <f t="shared" si="14"/>
        <v>2.6778063410454154</v>
      </c>
      <c r="M143" s="30">
        <f t="shared" si="15"/>
        <v>13.389031705227076</v>
      </c>
      <c r="Q143" s="105"/>
      <c r="R143" s="106"/>
    </row>
    <row r="144" spans="2:20" s="99" customFormat="1">
      <c r="C144" s="100"/>
      <c r="E144" s="115" t="s">
        <v>885</v>
      </c>
      <c r="F144" s="101">
        <v>2</v>
      </c>
      <c r="G144" s="79" t="s">
        <v>160</v>
      </c>
      <c r="H144" s="85">
        <f t="shared" si="16"/>
        <v>0.33333333333333331</v>
      </c>
      <c r="I144" s="10" t="s">
        <v>844</v>
      </c>
      <c r="J144" s="9">
        <v>2</v>
      </c>
      <c r="K144" s="103">
        <v>0.24</v>
      </c>
      <c r="L144" s="30">
        <f t="shared" si="14"/>
        <v>3.8560411311053984</v>
      </c>
      <c r="M144" s="30">
        <f t="shared" si="15"/>
        <v>7.7120822622107967</v>
      </c>
      <c r="Q144" s="105"/>
      <c r="R144" s="106"/>
    </row>
    <row r="145" spans="1:20" s="99" customFormat="1">
      <c r="C145" s="100"/>
      <c r="E145" s="152" t="s">
        <v>838</v>
      </c>
      <c r="F145" s="101">
        <v>2</v>
      </c>
      <c r="G145" s="79" t="s">
        <v>161</v>
      </c>
      <c r="H145" s="85">
        <f t="shared" si="16"/>
        <v>0.33333333333333331</v>
      </c>
      <c r="K145" s="103">
        <v>0</v>
      </c>
      <c r="L145" s="30">
        <f t="shared" si="14"/>
        <v>0</v>
      </c>
      <c r="M145" s="30">
        <f t="shared" si="15"/>
        <v>0</v>
      </c>
      <c r="Q145" s="105"/>
      <c r="R145" s="106">
        <v>1.65</v>
      </c>
      <c r="T145" s="99" t="s">
        <v>886</v>
      </c>
    </row>
    <row r="146" spans="1:20" s="99" customFormat="1" ht="17.25" thickBot="1">
      <c r="A146" s="93"/>
      <c r="B146" s="93"/>
      <c r="C146" s="72"/>
      <c r="D146" s="93"/>
      <c r="E146" s="140"/>
      <c r="F146" s="87"/>
      <c r="G146" s="112"/>
      <c r="H146" s="86">
        <f t="shared" si="16"/>
        <v>0</v>
      </c>
      <c r="I146" s="44"/>
      <c r="J146" s="132"/>
      <c r="K146" s="97">
        <f>SUM(K124:K145)</f>
        <v>6.2238888888888901</v>
      </c>
      <c r="L146" s="98">
        <f>SUM(L124:L145)</f>
        <v>99.998214795772626</v>
      </c>
      <c r="M146" s="38"/>
      <c r="N146" s="94">
        <f>SUM(M124:M145)</f>
        <v>427.76171093973153</v>
      </c>
      <c r="O146" s="93"/>
      <c r="P146" s="93" t="s">
        <v>192</v>
      </c>
      <c r="Q146" s="95">
        <v>0.15</v>
      </c>
      <c r="R146" s="96">
        <f>SUM(R124:S145)</f>
        <v>4.1500000000000004</v>
      </c>
    </row>
    <row r="147" spans="1:20" s="99" customFormat="1">
      <c r="A147" s="99">
        <v>9</v>
      </c>
      <c r="B147" s="7" t="s">
        <v>845</v>
      </c>
      <c r="C147" s="100" t="s">
        <v>1356</v>
      </c>
      <c r="D147" s="29" t="s">
        <v>740</v>
      </c>
      <c r="E147" s="152" t="s">
        <v>846</v>
      </c>
      <c r="F147" s="101">
        <v>15</v>
      </c>
      <c r="G147" s="52" t="s">
        <v>194</v>
      </c>
      <c r="H147" s="85">
        <f t="shared" si="16"/>
        <v>2.5</v>
      </c>
      <c r="I147" s="10" t="s">
        <v>20</v>
      </c>
      <c r="J147" s="9">
        <v>4</v>
      </c>
      <c r="K147" s="103">
        <f>0.3/0.5</f>
        <v>0.6</v>
      </c>
      <c r="L147" s="30">
        <f>K147/3.255*100</f>
        <v>18.433179723502306</v>
      </c>
      <c r="M147" s="30">
        <f t="shared" si="15"/>
        <v>73.732718894009224</v>
      </c>
      <c r="N147" s="104"/>
      <c r="Q147" s="105"/>
      <c r="R147" s="106"/>
      <c r="T147" s="99" t="s">
        <v>884</v>
      </c>
    </row>
    <row r="148" spans="1:20" s="99" customFormat="1">
      <c r="C148" s="100"/>
      <c r="E148" s="115" t="s">
        <v>847</v>
      </c>
      <c r="F148" s="101">
        <v>6</v>
      </c>
      <c r="G148" s="29" t="s">
        <v>831</v>
      </c>
      <c r="H148" s="85">
        <f t="shared" si="16"/>
        <v>1</v>
      </c>
      <c r="K148" s="103">
        <v>0</v>
      </c>
      <c r="L148" s="30">
        <f t="shared" ref="L148:L162" si="17">K148/3.255*100</f>
        <v>0</v>
      </c>
      <c r="M148" s="30">
        <f t="shared" si="15"/>
        <v>0</v>
      </c>
      <c r="N148" s="104"/>
      <c r="Q148" s="105"/>
      <c r="R148" s="106"/>
    </row>
    <row r="149" spans="1:20" s="99" customFormat="1">
      <c r="B149" s="63"/>
      <c r="E149" s="115" t="s">
        <v>247</v>
      </c>
      <c r="F149" s="101">
        <v>1</v>
      </c>
      <c r="G149" s="29" t="s">
        <v>831</v>
      </c>
      <c r="H149" s="85">
        <f t="shared" si="16"/>
        <v>0.16666666666666666</v>
      </c>
      <c r="I149" s="10" t="s">
        <v>26</v>
      </c>
      <c r="J149" s="9">
        <v>4</v>
      </c>
      <c r="K149" s="103">
        <v>0.17</v>
      </c>
      <c r="L149" s="30">
        <f t="shared" si="17"/>
        <v>5.2227342549923197</v>
      </c>
      <c r="M149" s="30">
        <f t="shared" si="15"/>
        <v>20.890937019969279</v>
      </c>
      <c r="Q149" s="105"/>
      <c r="R149" s="106"/>
    </row>
    <row r="150" spans="1:20" s="99" customFormat="1">
      <c r="C150" s="100"/>
      <c r="E150" s="115" t="s">
        <v>331</v>
      </c>
      <c r="F150" s="101">
        <v>0.5</v>
      </c>
      <c r="G150" s="29" t="s">
        <v>831</v>
      </c>
      <c r="H150" s="85">
        <f t="shared" si="16"/>
        <v>8.3333333333333329E-2</v>
      </c>
      <c r="I150" s="10" t="s">
        <v>23</v>
      </c>
      <c r="J150" s="9">
        <v>5</v>
      </c>
      <c r="K150" s="103">
        <v>0.08</v>
      </c>
      <c r="L150" s="30">
        <f t="shared" si="17"/>
        <v>2.4577572964669741</v>
      </c>
      <c r="M150" s="30">
        <f t="shared" si="15"/>
        <v>12.288786482334871</v>
      </c>
      <c r="Q150" s="105"/>
      <c r="R150" s="106"/>
    </row>
    <row r="151" spans="1:20" s="99" customFormat="1">
      <c r="C151" s="100"/>
      <c r="E151" s="115" t="s">
        <v>848</v>
      </c>
      <c r="F151" s="101">
        <v>0.25</v>
      </c>
      <c r="G151" s="29" t="s">
        <v>831</v>
      </c>
      <c r="H151" s="85">
        <f t="shared" si="16"/>
        <v>4.1666666666666664E-2</v>
      </c>
      <c r="I151" s="10" t="s">
        <v>855</v>
      </c>
      <c r="J151" s="9">
        <v>5</v>
      </c>
      <c r="K151" s="103">
        <v>0.08</v>
      </c>
      <c r="L151" s="30">
        <f t="shared" si="17"/>
        <v>2.4577572964669741</v>
      </c>
      <c r="M151" s="30">
        <f t="shared" si="15"/>
        <v>12.288786482334871</v>
      </c>
      <c r="Q151" s="105"/>
      <c r="R151" s="106"/>
    </row>
    <row r="152" spans="1:20" s="99" customFormat="1">
      <c r="C152" s="100"/>
      <c r="E152" s="115" t="s">
        <v>790</v>
      </c>
      <c r="F152" s="101">
        <v>0.25</v>
      </c>
      <c r="G152" s="29" t="s">
        <v>831</v>
      </c>
      <c r="H152" s="85">
        <f t="shared" si="16"/>
        <v>4.1666666666666664E-2</v>
      </c>
      <c r="I152" s="10" t="s">
        <v>856</v>
      </c>
      <c r="J152" s="9">
        <v>5</v>
      </c>
      <c r="K152" s="103">
        <v>0.04</v>
      </c>
      <c r="L152" s="30">
        <f t="shared" si="17"/>
        <v>1.228878648233487</v>
      </c>
      <c r="M152" s="30">
        <f t="shared" si="15"/>
        <v>6.1443932411674353</v>
      </c>
      <c r="Q152" s="105"/>
      <c r="R152" s="106"/>
    </row>
    <row r="153" spans="1:20" s="99" customFormat="1">
      <c r="C153" s="100"/>
      <c r="E153" s="115" t="s">
        <v>849</v>
      </c>
      <c r="F153" s="101">
        <v>0.25</v>
      </c>
      <c r="G153" s="79" t="s">
        <v>161</v>
      </c>
      <c r="H153" s="85">
        <f t="shared" si="16"/>
        <v>4.1666666666666664E-2</v>
      </c>
      <c r="I153" s="10"/>
      <c r="J153" s="9"/>
      <c r="K153" s="103">
        <v>0</v>
      </c>
      <c r="L153" s="30">
        <f t="shared" si="17"/>
        <v>0</v>
      </c>
      <c r="M153" s="30">
        <f t="shared" si="15"/>
        <v>0</v>
      </c>
      <c r="Q153" s="105"/>
      <c r="R153" s="106"/>
    </row>
    <row r="154" spans="1:20" s="99" customFormat="1">
      <c r="C154" s="100"/>
      <c r="E154" s="115" t="s">
        <v>207</v>
      </c>
      <c r="F154" s="101">
        <v>2</v>
      </c>
      <c r="G154" s="29" t="s">
        <v>163</v>
      </c>
      <c r="H154" s="85">
        <f t="shared" si="16"/>
        <v>0.33333333333333331</v>
      </c>
      <c r="I154" s="10" t="s">
        <v>857</v>
      </c>
      <c r="J154" s="9">
        <v>5</v>
      </c>
      <c r="K154" s="103">
        <v>0.33</v>
      </c>
      <c r="L154" s="30">
        <f t="shared" si="17"/>
        <v>10.138248847926267</v>
      </c>
      <c r="M154" s="30">
        <f t="shared" si="15"/>
        <v>50.691244239631331</v>
      </c>
      <c r="Q154" s="105"/>
      <c r="R154" s="106"/>
    </row>
    <row r="155" spans="1:20" s="99" customFormat="1">
      <c r="C155" s="100"/>
      <c r="E155" s="115" t="s">
        <v>676</v>
      </c>
      <c r="F155" s="101">
        <v>0.25</v>
      </c>
      <c r="G155" s="29" t="s">
        <v>831</v>
      </c>
      <c r="H155" s="85">
        <f t="shared" si="16"/>
        <v>4.1666666666666664E-2</v>
      </c>
      <c r="I155" s="10" t="s">
        <v>821</v>
      </c>
      <c r="J155" s="9">
        <v>5</v>
      </c>
      <c r="K155" s="103">
        <f>H155/0.5</f>
        <v>8.3333333333333329E-2</v>
      </c>
      <c r="L155" s="30">
        <f t="shared" si="17"/>
        <v>2.5601638504864308</v>
      </c>
      <c r="M155" s="30">
        <f t="shared" si="15"/>
        <v>12.800819252432154</v>
      </c>
      <c r="Q155" s="105"/>
      <c r="R155" s="106"/>
    </row>
    <row r="156" spans="1:20" s="99" customFormat="1">
      <c r="C156" s="100"/>
      <c r="E156" s="115" t="s">
        <v>850</v>
      </c>
      <c r="F156" s="101">
        <v>1</v>
      </c>
      <c r="G156" s="29" t="s">
        <v>163</v>
      </c>
      <c r="H156" s="85">
        <f t="shared" si="16"/>
        <v>0.16666666666666666</v>
      </c>
      <c r="I156" s="10" t="s">
        <v>821</v>
      </c>
      <c r="J156" s="9">
        <v>5</v>
      </c>
      <c r="K156" s="103">
        <f>H156/2</f>
        <v>8.3333333333333329E-2</v>
      </c>
      <c r="L156" s="30">
        <f t="shared" si="17"/>
        <v>2.5601638504864308</v>
      </c>
      <c r="M156" s="30">
        <f t="shared" si="15"/>
        <v>12.800819252432154</v>
      </c>
      <c r="Q156" s="105"/>
      <c r="R156" s="106"/>
    </row>
    <row r="157" spans="1:20" s="99" customFormat="1">
      <c r="C157" s="100" t="s">
        <v>892</v>
      </c>
      <c r="D157" s="29" t="s">
        <v>740</v>
      </c>
      <c r="E157" s="115" t="s">
        <v>858</v>
      </c>
      <c r="F157" s="101">
        <v>8</v>
      </c>
      <c r="G157" s="29" t="s">
        <v>163</v>
      </c>
      <c r="H157" s="85">
        <f>F157/8</f>
        <v>1</v>
      </c>
      <c r="I157" s="10" t="s">
        <v>821</v>
      </c>
      <c r="J157" s="9">
        <v>5</v>
      </c>
      <c r="K157" s="103">
        <v>1</v>
      </c>
      <c r="L157" s="30">
        <f t="shared" si="17"/>
        <v>30.721966205837177</v>
      </c>
      <c r="M157" s="30">
        <f t="shared" si="15"/>
        <v>153.6098310291859</v>
      </c>
      <c r="Q157" s="105"/>
      <c r="R157" s="106"/>
    </row>
    <row r="158" spans="1:20" s="99" customFormat="1">
      <c r="C158" s="100"/>
      <c r="E158" s="115" t="s">
        <v>851</v>
      </c>
      <c r="F158" s="101">
        <v>3</v>
      </c>
      <c r="G158" s="79" t="s">
        <v>160</v>
      </c>
      <c r="H158" s="85">
        <f t="shared" ref="H158:H162" si="18">F158/8</f>
        <v>0.375</v>
      </c>
      <c r="I158" s="10" t="s">
        <v>821</v>
      </c>
      <c r="J158" s="9">
        <v>5</v>
      </c>
      <c r="K158" s="103">
        <f>0.023/0.5</f>
        <v>4.5999999999999999E-2</v>
      </c>
      <c r="L158" s="30">
        <f t="shared" si="17"/>
        <v>1.4132104454685099</v>
      </c>
      <c r="M158" s="30">
        <f t="shared" si="15"/>
        <v>7.0660522273425492</v>
      </c>
      <c r="Q158" s="105"/>
      <c r="R158" s="106"/>
    </row>
    <row r="159" spans="1:20" s="99" customFormat="1">
      <c r="C159" s="100"/>
      <c r="E159" s="115" t="s">
        <v>852</v>
      </c>
      <c r="F159" s="101">
        <v>0.5</v>
      </c>
      <c r="G159" s="29" t="s">
        <v>831</v>
      </c>
      <c r="H159" s="85">
        <f t="shared" si="18"/>
        <v>6.25E-2</v>
      </c>
      <c r="I159" s="10" t="s">
        <v>25</v>
      </c>
      <c r="J159" s="9">
        <v>4</v>
      </c>
      <c r="K159" s="103">
        <f>0.96/3</f>
        <v>0.32</v>
      </c>
      <c r="L159" s="30">
        <f t="shared" si="17"/>
        <v>9.8310291858678962</v>
      </c>
      <c r="M159" s="30">
        <f t="shared" si="15"/>
        <v>39.324116743471585</v>
      </c>
      <c r="N159" s="104"/>
      <c r="Q159" s="105"/>
      <c r="R159" s="106"/>
    </row>
    <row r="160" spans="1:20" s="99" customFormat="1">
      <c r="B160" s="63"/>
      <c r="C160" s="100"/>
      <c r="E160" s="115" t="s">
        <v>853</v>
      </c>
      <c r="F160" s="101">
        <v>0.25</v>
      </c>
      <c r="G160" s="29" t="s">
        <v>831</v>
      </c>
      <c r="H160" s="85">
        <f t="shared" si="18"/>
        <v>3.125E-2</v>
      </c>
      <c r="I160" s="10" t="s">
        <v>859</v>
      </c>
      <c r="J160" s="9">
        <v>2</v>
      </c>
      <c r="K160" s="103">
        <v>0.36</v>
      </c>
      <c r="L160" s="30">
        <f t="shared" si="17"/>
        <v>11.059907834101383</v>
      </c>
      <c r="M160" s="30">
        <f t="shared" si="15"/>
        <v>22.119815668202765</v>
      </c>
      <c r="Q160" s="105"/>
      <c r="R160" s="106"/>
    </row>
    <row r="161" spans="1:20" s="99" customFormat="1">
      <c r="C161" s="100"/>
      <c r="E161" s="115" t="s">
        <v>763</v>
      </c>
      <c r="F161" s="101">
        <v>2</v>
      </c>
      <c r="G161" s="79" t="s">
        <v>160</v>
      </c>
      <c r="H161" s="85">
        <f t="shared" si="18"/>
        <v>0.25</v>
      </c>
      <c r="I161" s="10"/>
      <c r="J161" s="9"/>
      <c r="K161" s="103">
        <v>0</v>
      </c>
      <c r="L161" s="30">
        <f t="shared" si="17"/>
        <v>0</v>
      </c>
      <c r="M161" s="30">
        <f t="shared" si="15"/>
        <v>0</v>
      </c>
      <c r="Q161" s="105"/>
      <c r="R161" s="106">
        <v>1.25</v>
      </c>
    </row>
    <row r="162" spans="1:20" s="99" customFormat="1">
      <c r="C162" s="100"/>
      <c r="E162" s="115" t="s">
        <v>854</v>
      </c>
      <c r="F162" s="101">
        <v>0.25</v>
      </c>
      <c r="G162" s="29" t="s">
        <v>831</v>
      </c>
      <c r="H162" s="85">
        <f t="shared" si="18"/>
        <v>3.125E-2</v>
      </c>
      <c r="I162" s="10" t="s">
        <v>843</v>
      </c>
      <c r="J162" s="9">
        <v>4</v>
      </c>
      <c r="K162" s="103">
        <f>H162/0.5</f>
        <v>6.25E-2</v>
      </c>
      <c r="L162" s="30">
        <f t="shared" si="17"/>
        <v>1.9201228878648235</v>
      </c>
      <c r="M162" s="30">
        <f t="shared" si="15"/>
        <v>7.6804915514592942</v>
      </c>
      <c r="Q162" s="105"/>
      <c r="R162" s="106"/>
    </row>
    <row r="163" spans="1:20" s="99" customFormat="1" ht="17.25" thickBot="1">
      <c r="A163" s="93"/>
      <c r="B163" s="47"/>
      <c r="C163" s="72"/>
      <c r="D163" s="93"/>
      <c r="E163" s="140"/>
      <c r="F163" s="87"/>
      <c r="G163" s="112"/>
      <c r="H163" s="86"/>
      <c r="I163" s="44"/>
      <c r="J163" s="132"/>
      <c r="K163" s="97">
        <f>SUM(K147:K162)</f>
        <v>3.2551666666666663</v>
      </c>
      <c r="L163" s="98">
        <f>SUM(L147:L162)</f>
        <v>100.00512032770096</v>
      </c>
      <c r="M163" s="38"/>
      <c r="N163" s="94">
        <f>SUM(M147:M162)</f>
        <v>431.43881208397335</v>
      </c>
      <c r="O163" s="93"/>
      <c r="P163" s="93" t="s">
        <v>59</v>
      </c>
      <c r="Q163" s="95"/>
      <c r="R163" s="96">
        <v>1.25</v>
      </c>
    </row>
    <row r="164" spans="1:20" s="99" customFormat="1">
      <c r="A164" s="99">
        <v>10</v>
      </c>
      <c r="B164" s="7" t="s">
        <v>860</v>
      </c>
      <c r="C164" s="100" t="s">
        <v>861</v>
      </c>
      <c r="D164" s="29" t="s">
        <v>740</v>
      </c>
      <c r="E164" s="115" t="s">
        <v>754</v>
      </c>
      <c r="F164" s="101">
        <v>2</v>
      </c>
      <c r="G164" s="29" t="s">
        <v>831</v>
      </c>
      <c r="H164" s="85">
        <f>F164/8</f>
        <v>0.25</v>
      </c>
      <c r="I164" s="10" t="s">
        <v>871</v>
      </c>
      <c r="J164" s="9">
        <v>5</v>
      </c>
      <c r="K164" s="103">
        <v>0.25</v>
      </c>
      <c r="L164" s="30">
        <f>K164/3.025*100</f>
        <v>8.2644628099173563</v>
      </c>
      <c r="M164" s="30">
        <f t="shared" si="15"/>
        <v>41.32231404958678</v>
      </c>
      <c r="Q164" s="105"/>
      <c r="R164" s="106"/>
    </row>
    <row r="165" spans="1:20" s="99" customFormat="1">
      <c r="C165" s="100"/>
      <c r="E165" s="115" t="s">
        <v>212</v>
      </c>
      <c r="F165" s="101">
        <v>1</v>
      </c>
      <c r="G165" s="29" t="s">
        <v>831</v>
      </c>
      <c r="H165" s="85">
        <f t="shared" ref="H165:H171" si="19">F165/8</f>
        <v>0.125</v>
      </c>
      <c r="I165" s="10" t="s">
        <v>856</v>
      </c>
      <c r="J165" s="9">
        <v>5</v>
      </c>
      <c r="K165" s="103">
        <v>0.13</v>
      </c>
      <c r="L165" s="30">
        <f t="shared" ref="L165:L177" si="20">K165/3.025*100</f>
        <v>4.2975206611570247</v>
      </c>
      <c r="M165" s="30">
        <f t="shared" si="15"/>
        <v>21.487603305785122</v>
      </c>
      <c r="Q165" s="105"/>
      <c r="R165" s="106"/>
    </row>
    <row r="166" spans="1:20" s="99" customFormat="1">
      <c r="B166" s="63"/>
      <c r="C166" s="100"/>
      <c r="E166" s="115" t="s">
        <v>862</v>
      </c>
      <c r="F166" s="101">
        <v>1</v>
      </c>
      <c r="G166" s="29" t="s">
        <v>831</v>
      </c>
      <c r="H166" s="85">
        <f t="shared" si="19"/>
        <v>0.125</v>
      </c>
      <c r="I166" s="10" t="s">
        <v>23</v>
      </c>
      <c r="J166" s="9">
        <v>5</v>
      </c>
      <c r="K166" s="103">
        <v>0.13</v>
      </c>
      <c r="L166" s="30">
        <f t="shared" si="20"/>
        <v>4.2975206611570247</v>
      </c>
      <c r="M166" s="30">
        <f t="shared" si="15"/>
        <v>21.487603305785122</v>
      </c>
      <c r="Q166" s="105"/>
      <c r="R166" s="106"/>
    </row>
    <row r="167" spans="1:20" s="99" customFormat="1">
      <c r="C167" s="100"/>
      <c r="E167" s="115" t="s">
        <v>197</v>
      </c>
      <c r="F167" s="101">
        <v>2</v>
      </c>
      <c r="G167" s="29" t="s">
        <v>163</v>
      </c>
      <c r="H167" s="85">
        <f t="shared" si="19"/>
        <v>0.25</v>
      </c>
      <c r="I167" s="10" t="s">
        <v>857</v>
      </c>
      <c r="J167" s="9">
        <v>5</v>
      </c>
      <c r="K167" s="103">
        <v>0.25</v>
      </c>
      <c r="L167" s="30">
        <f t="shared" si="20"/>
        <v>8.2644628099173563</v>
      </c>
      <c r="M167" s="30">
        <f t="shared" si="15"/>
        <v>41.32231404958678</v>
      </c>
      <c r="Q167" s="105"/>
      <c r="R167" s="106"/>
    </row>
    <row r="168" spans="1:20" s="99" customFormat="1">
      <c r="C168" s="100"/>
      <c r="E168" s="152" t="s">
        <v>863</v>
      </c>
      <c r="F168" s="101">
        <v>2</v>
      </c>
      <c r="G168" s="29" t="s">
        <v>163</v>
      </c>
      <c r="H168" s="85">
        <f t="shared" si="19"/>
        <v>0.25</v>
      </c>
      <c r="I168" s="10" t="s">
        <v>23</v>
      </c>
      <c r="J168" s="9">
        <v>5</v>
      </c>
      <c r="K168" s="103">
        <f>H168/2</f>
        <v>0.125</v>
      </c>
      <c r="L168" s="30">
        <f t="shared" si="20"/>
        <v>4.1322314049586781</v>
      </c>
      <c r="M168" s="30">
        <f t="shared" si="15"/>
        <v>20.66115702479339</v>
      </c>
      <c r="Q168" s="105"/>
      <c r="R168" s="106"/>
      <c r="T168" s="99" t="s">
        <v>887</v>
      </c>
    </row>
    <row r="169" spans="1:20" s="99" customFormat="1">
      <c r="B169" s="63"/>
      <c r="C169" s="100"/>
      <c r="E169" s="115" t="s">
        <v>864</v>
      </c>
      <c r="F169" s="101">
        <v>0.5</v>
      </c>
      <c r="G169" s="29" t="s">
        <v>163</v>
      </c>
      <c r="H169" s="85">
        <f t="shared" si="19"/>
        <v>6.25E-2</v>
      </c>
      <c r="I169" s="10" t="s">
        <v>872</v>
      </c>
      <c r="J169" s="9">
        <v>4</v>
      </c>
      <c r="K169" s="103">
        <f>H169/2</f>
        <v>3.125E-2</v>
      </c>
      <c r="L169" s="30">
        <f t="shared" si="20"/>
        <v>1.0330578512396695</v>
      </c>
      <c r="M169" s="30">
        <f t="shared" si="15"/>
        <v>4.1322314049586781</v>
      </c>
      <c r="Q169" s="105"/>
      <c r="R169" s="106"/>
    </row>
    <row r="170" spans="1:20" s="99" customFormat="1">
      <c r="C170" s="100"/>
      <c r="E170" s="115" t="s">
        <v>865</v>
      </c>
      <c r="F170" s="101">
        <v>2</v>
      </c>
      <c r="G170" s="29" t="s">
        <v>831</v>
      </c>
      <c r="H170" s="85">
        <f t="shared" si="19"/>
        <v>0.25</v>
      </c>
      <c r="I170" s="10" t="s">
        <v>873</v>
      </c>
      <c r="J170" s="9">
        <v>4</v>
      </c>
      <c r="K170" s="103">
        <v>0.5</v>
      </c>
      <c r="L170" s="30">
        <f t="shared" si="20"/>
        <v>16.528925619834713</v>
      </c>
      <c r="M170" s="30">
        <f t="shared" si="15"/>
        <v>66.11570247933885</v>
      </c>
      <c r="Q170" s="105"/>
      <c r="R170" s="106"/>
      <c r="T170" s="99" t="s">
        <v>888</v>
      </c>
    </row>
    <row r="171" spans="1:20" s="99" customFormat="1">
      <c r="C171" s="100"/>
      <c r="E171" s="115" t="s">
        <v>866</v>
      </c>
      <c r="F171" s="101">
        <v>2</v>
      </c>
      <c r="G171" s="79" t="s">
        <v>160</v>
      </c>
      <c r="H171" s="85">
        <f t="shared" si="19"/>
        <v>0.25</v>
      </c>
      <c r="K171" s="103">
        <v>0</v>
      </c>
      <c r="L171" s="30">
        <f t="shared" si="20"/>
        <v>0</v>
      </c>
      <c r="M171" s="30">
        <f t="shared" si="15"/>
        <v>0</v>
      </c>
      <c r="Q171" s="105"/>
      <c r="R171" s="106"/>
    </row>
    <row r="172" spans="1:20" s="99" customFormat="1">
      <c r="C172" s="100" t="s">
        <v>867</v>
      </c>
      <c r="D172" s="29" t="s">
        <v>740</v>
      </c>
      <c r="E172" s="115" t="s">
        <v>248</v>
      </c>
      <c r="F172" s="101">
        <v>1.5</v>
      </c>
      <c r="G172" s="29" t="s">
        <v>831</v>
      </c>
      <c r="H172" s="85">
        <f>F172/4</f>
        <v>0.375</v>
      </c>
      <c r="I172" s="10" t="s">
        <v>821</v>
      </c>
      <c r="J172" s="9">
        <v>5</v>
      </c>
      <c r="K172" s="103">
        <f>H172/0.5</f>
        <v>0.75</v>
      </c>
      <c r="L172" s="30">
        <f t="shared" si="20"/>
        <v>24.793388429752067</v>
      </c>
      <c r="M172" s="30">
        <f t="shared" si="15"/>
        <v>123.96694214876034</v>
      </c>
      <c r="Q172" s="105"/>
      <c r="R172" s="106"/>
    </row>
    <row r="173" spans="1:20" s="99" customFormat="1">
      <c r="C173" s="100"/>
      <c r="E173" s="115" t="s">
        <v>868</v>
      </c>
      <c r="F173" s="101">
        <v>1</v>
      </c>
      <c r="G173" s="29" t="s">
        <v>831</v>
      </c>
      <c r="H173" s="85">
        <f t="shared" ref="H173:H177" si="21">F173/4</f>
        <v>0.25</v>
      </c>
      <c r="I173" s="10" t="s">
        <v>873</v>
      </c>
      <c r="J173" s="9">
        <v>4</v>
      </c>
      <c r="K173" s="103">
        <f>H173/1</f>
        <v>0.25</v>
      </c>
      <c r="L173" s="30">
        <f t="shared" si="20"/>
        <v>8.2644628099173563</v>
      </c>
      <c r="M173" s="30">
        <f t="shared" si="15"/>
        <v>33.057851239669425</v>
      </c>
      <c r="N173" s="104"/>
      <c r="Q173" s="105"/>
      <c r="R173" s="106"/>
    </row>
    <row r="174" spans="1:20" s="99" customFormat="1">
      <c r="B174" s="63"/>
      <c r="E174" s="115" t="s">
        <v>869</v>
      </c>
      <c r="F174" s="101">
        <v>0.33</v>
      </c>
      <c r="G174" s="29" t="s">
        <v>831</v>
      </c>
      <c r="H174" s="85">
        <f t="shared" si="21"/>
        <v>8.2500000000000004E-2</v>
      </c>
      <c r="I174" s="10" t="s">
        <v>873</v>
      </c>
      <c r="J174" s="9">
        <v>4</v>
      </c>
      <c r="K174" s="103">
        <f>H174/0.5</f>
        <v>0.16500000000000001</v>
      </c>
      <c r="L174" s="30">
        <f t="shared" si="20"/>
        <v>5.454545454545455</v>
      </c>
      <c r="M174" s="30">
        <f t="shared" si="15"/>
        <v>21.81818181818182</v>
      </c>
      <c r="Q174" s="105"/>
      <c r="R174" s="106"/>
    </row>
    <row r="175" spans="1:20" s="99" customFormat="1">
      <c r="C175" s="100"/>
      <c r="E175" s="115" t="s">
        <v>186</v>
      </c>
      <c r="F175" s="101">
        <v>1</v>
      </c>
      <c r="G175" s="79" t="s">
        <v>160</v>
      </c>
      <c r="H175" s="85">
        <f t="shared" si="21"/>
        <v>0.25</v>
      </c>
      <c r="I175" s="10" t="s">
        <v>859</v>
      </c>
      <c r="J175" s="9">
        <v>2</v>
      </c>
      <c r="K175" s="103">
        <v>0.18</v>
      </c>
      <c r="L175" s="30">
        <f t="shared" si="20"/>
        <v>5.9504132231404956</v>
      </c>
      <c r="M175" s="30">
        <f t="shared" si="15"/>
        <v>11.900826446280991</v>
      </c>
      <c r="Q175" s="105"/>
      <c r="R175" s="106"/>
    </row>
    <row r="176" spans="1:20" s="99" customFormat="1">
      <c r="C176" s="100"/>
      <c r="E176" s="115" t="s">
        <v>252</v>
      </c>
      <c r="F176" s="101">
        <v>1</v>
      </c>
      <c r="G176" s="79" t="s">
        <v>161</v>
      </c>
      <c r="H176" s="85">
        <f t="shared" si="21"/>
        <v>0.25</v>
      </c>
      <c r="I176" s="10" t="s">
        <v>821</v>
      </c>
      <c r="J176" s="9">
        <v>5</v>
      </c>
      <c r="K176" s="103">
        <v>1.18E-2</v>
      </c>
      <c r="L176" s="30">
        <f t="shared" si="20"/>
        <v>0.39008264462809916</v>
      </c>
      <c r="M176" s="30">
        <f t="shared" si="15"/>
        <v>1.9504132231404958</v>
      </c>
      <c r="Q176" s="105"/>
      <c r="R176" s="106"/>
    </row>
    <row r="177" spans="1:18" s="99" customFormat="1">
      <c r="C177" s="100"/>
      <c r="E177" s="115" t="s">
        <v>870</v>
      </c>
      <c r="F177" s="101">
        <v>0.5</v>
      </c>
      <c r="G177" s="29" t="s">
        <v>163</v>
      </c>
      <c r="H177" s="85">
        <f t="shared" si="21"/>
        <v>0.125</v>
      </c>
      <c r="I177" s="10" t="s">
        <v>821</v>
      </c>
      <c r="J177" s="9">
        <v>5</v>
      </c>
      <c r="K177" s="103">
        <f>H177/0.5</f>
        <v>0.25</v>
      </c>
      <c r="L177" s="30">
        <f t="shared" si="20"/>
        <v>8.2644628099173563</v>
      </c>
      <c r="M177" s="30">
        <f t="shared" si="15"/>
        <v>41.32231404958678</v>
      </c>
      <c r="Q177" s="105"/>
      <c r="R177" s="106"/>
    </row>
    <row r="178" spans="1:18" s="99" customFormat="1" ht="17.25" thickBot="1">
      <c r="A178" s="93"/>
      <c r="B178" s="93"/>
      <c r="C178" s="72"/>
      <c r="D178" s="93"/>
      <c r="E178" s="140"/>
      <c r="F178" s="87"/>
      <c r="G178" s="37"/>
      <c r="H178" s="86"/>
      <c r="I178" s="93"/>
      <c r="J178" s="93"/>
      <c r="K178" s="97">
        <f>SUM(K164:K177)</f>
        <v>3.02305</v>
      </c>
      <c r="L178" s="98">
        <f>SUM(L164:L177)</f>
        <v>99.935537190082655</v>
      </c>
      <c r="M178" s="38"/>
      <c r="N178" s="94">
        <f>SUM(M164:M177)</f>
        <v>450.54545454545456</v>
      </c>
      <c r="O178" s="93"/>
      <c r="P178" s="93" t="s">
        <v>192</v>
      </c>
      <c r="Q178" s="95"/>
      <c r="R178" s="96"/>
    </row>
    <row r="179" spans="1:18" s="99" customFormat="1">
      <c r="C179" s="100"/>
      <c r="E179" s="115"/>
      <c r="F179" s="101"/>
      <c r="G179" s="107"/>
      <c r="H179" s="85"/>
      <c r="I179" s="10"/>
      <c r="J179" s="9"/>
      <c r="K179" s="103"/>
      <c r="L179" s="92"/>
      <c r="M179" s="58"/>
      <c r="Q179" s="105"/>
      <c r="R179" s="106"/>
    </row>
    <row r="180" spans="1:18" s="99" customFormat="1">
      <c r="E180" s="115"/>
      <c r="F180" s="101"/>
      <c r="G180" s="107"/>
      <c r="H180" s="102"/>
      <c r="I180" s="10"/>
      <c r="J180" s="9"/>
      <c r="K180" s="103"/>
      <c r="L180" s="92"/>
      <c r="M180" s="58"/>
      <c r="Q180" s="105"/>
      <c r="R180" s="106"/>
    </row>
    <row r="181" spans="1:18" s="99" customFormat="1">
      <c r="C181" s="100"/>
      <c r="E181" s="115"/>
      <c r="F181" s="101"/>
      <c r="G181" s="52"/>
      <c r="H181" s="102"/>
      <c r="K181" s="103"/>
      <c r="L181" s="104"/>
      <c r="N181" s="104"/>
      <c r="Q181" s="105"/>
      <c r="R181" s="106"/>
    </row>
    <row r="182" spans="1:18" s="99" customFormat="1">
      <c r="B182" s="63"/>
      <c r="C182" s="100"/>
      <c r="E182" s="115"/>
      <c r="F182" s="101"/>
      <c r="G182" s="52"/>
      <c r="H182" s="102"/>
      <c r="I182" s="10"/>
      <c r="J182" s="9"/>
      <c r="K182" s="103"/>
      <c r="L182" s="92"/>
      <c r="M182" s="58"/>
      <c r="Q182" s="105"/>
      <c r="R182" s="106"/>
    </row>
    <row r="183" spans="1:18" s="99" customFormat="1">
      <c r="C183" s="100"/>
      <c r="E183" s="115"/>
      <c r="F183" s="101"/>
      <c r="G183" s="52"/>
      <c r="H183" s="102"/>
      <c r="K183" s="103"/>
      <c r="L183" s="92"/>
      <c r="M183" s="58"/>
      <c r="Q183" s="105"/>
      <c r="R183" s="106"/>
    </row>
    <row r="184" spans="1:18" s="99" customFormat="1">
      <c r="C184" s="100"/>
      <c r="E184" s="115"/>
      <c r="F184" s="101"/>
      <c r="G184" s="107"/>
      <c r="H184" s="102"/>
      <c r="I184" s="10"/>
      <c r="J184" s="9"/>
      <c r="K184" s="103"/>
      <c r="L184" s="92"/>
      <c r="M184" s="58"/>
      <c r="Q184" s="105"/>
      <c r="R184" s="106"/>
    </row>
    <row r="185" spans="1:18" s="99" customFormat="1">
      <c r="C185" s="100"/>
      <c r="E185" s="115"/>
      <c r="F185" s="101"/>
      <c r="G185" s="107"/>
      <c r="H185" s="102"/>
      <c r="I185" s="10"/>
      <c r="J185" s="9"/>
      <c r="K185" s="103"/>
      <c r="L185" s="92"/>
      <c r="M185" s="58"/>
      <c r="Q185" s="105"/>
      <c r="R185" s="106"/>
    </row>
    <row r="186" spans="1:18" s="99" customFormat="1">
      <c r="C186" s="100"/>
      <c r="E186" s="115"/>
      <c r="F186" s="101"/>
      <c r="G186" s="147"/>
      <c r="H186" s="102"/>
      <c r="K186" s="103"/>
      <c r="L186" s="92"/>
      <c r="M186" s="58"/>
      <c r="Q186" s="105"/>
      <c r="R186" s="106"/>
    </row>
    <row r="187" spans="1:18" s="99" customFormat="1">
      <c r="C187" s="100"/>
      <c r="E187" s="115"/>
      <c r="F187" s="101"/>
      <c r="G187" s="52"/>
      <c r="H187" s="102"/>
      <c r="K187" s="103"/>
      <c r="L187" s="92"/>
      <c r="M187" s="58"/>
      <c r="Q187" s="105"/>
      <c r="R187" s="106"/>
    </row>
    <row r="188" spans="1:18" s="99" customFormat="1">
      <c r="C188" s="100"/>
      <c r="E188" s="115"/>
      <c r="F188" s="101"/>
      <c r="G188" s="107"/>
      <c r="H188" s="102"/>
      <c r="I188" s="10"/>
      <c r="J188" s="9"/>
      <c r="K188" s="103"/>
      <c r="L188" s="92"/>
      <c r="M188" s="58"/>
      <c r="Q188" s="105"/>
      <c r="R188" s="106"/>
    </row>
    <row r="189" spans="1:18" s="99" customFormat="1">
      <c r="C189" s="100"/>
      <c r="E189" s="115"/>
      <c r="F189" s="101"/>
      <c r="G189" s="107"/>
      <c r="H189" s="102"/>
      <c r="I189" s="10"/>
      <c r="J189" s="9"/>
      <c r="K189" s="103"/>
      <c r="L189" s="92"/>
      <c r="M189" s="58"/>
      <c r="Q189" s="105"/>
      <c r="R189" s="106"/>
    </row>
    <row r="190" spans="1:18" s="99" customFormat="1">
      <c r="C190" s="100"/>
      <c r="E190" s="115"/>
      <c r="F190" s="101"/>
      <c r="G190" s="107"/>
      <c r="H190" s="102"/>
      <c r="I190" s="10"/>
      <c r="J190" s="9"/>
      <c r="K190" s="103"/>
      <c r="L190" s="92"/>
      <c r="M190" s="58"/>
      <c r="Q190" s="105"/>
      <c r="R190" s="106"/>
    </row>
    <row r="191" spans="1:18" s="99" customFormat="1">
      <c r="C191" s="100"/>
      <c r="E191" s="115"/>
      <c r="F191" s="101"/>
      <c r="G191" s="52"/>
      <c r="H191" s="102"/>
      <c r="K191" s="103"/>
      <c r="L191" s="104"/>
      <c r="N191" s="104"/>
      <c r="Q191" s="105"/>
      <c r="R191" s="106"/>
    </row>
    <row r="192" spans="1:18" s="99" customFormat="1">
      <c r="B192" s="63"/>
      <c r="E192" s="115"/>
      <c r="F192" s="101"/>
      <c r="G192" s="107"/>
      <c r="H192" s="102"/>
      <c r="I192" s="10"/>
      <c r="J192" s="9"/>
      <c r="K192" s="103"/>
      <c r="L192" s="92"/>
      <c r="M192" s="58"/>
      <c r="Q192" s="105"/>
      <c r="R192" s="106"/>
    </row>
    <row r="193" spans="2:18" s="99" customFormat="1">
      <c r="C193" s="100"/>
      <c r="E193" s="115"/>
      <c r="F193" s="101"/>
      <c r="G193" s="107"/>
      <c r="H193" s="102"/>
      <c r="I193" s="10"/>
      <c r="J193" s="9"/>
      <c r="K193" s="103"/>
      <c r="L193" s="92"/>
      <c r="M193" s="58"/>
      <c r="Q193" s="105"/>
      <c r="R193" s="106"/>
    </row>
    <row r="194" spans="2:18" s="99" customFormat="1">
      <c r="E194" s="115"/>
      <c r="F194" s="101"/>
      <c r="G194" s="147"/>
      <c r="H194" s="102"/>
      <c r="I194" s="10"/>
      <c r="J194" s="9"/>
      <c r="K194" s="103"/>
      <c r="L194" s="92"/>
      <c r="M194" s="58"/>
      <c r="Q194" s="105"/>
      <c r="R194" s="106"/>
    </row>
    <row r="195" spans="2:18" s="99" customFormat="1">
      <c r="C195" s="100"/>
      <c r="E195" s="115"/>
      <c r="F195" s="101"/>
      <c r="G195" s="147"/>
      <c r="H195" s="102"/>
      <c r="K195" s="103"/>
      <c r="L195" s="92"/>
      <c r="M195" s="58"/>
      <c r="Q195" s="105"/>
      <c r="R195" s="106"/>
    </row>
    <row r="196" spans="2:18" s="99" customFormat="1">
      <c r="C196" s="100"/>
      <c r="E196" s="115"/>
      <c r="F196" s="101"/>
      <c r="G196" s="147"/>
      <c r="H196" s="102"/>
      <c r="K196" s="103"/>
      <c r="L196" s="92"/>
      <c r="M196" s="58"/>
      <c r="Q196" s="105"/>
      <c r="R196" s="106"/>
    </row>
    <row r="197" spans="2:18" s="99" customFormat="1">
      <c r="C197" s="100"/>
      <c r="E197" s="115"/>
      <c r="F197" s="101"/>
      <c r="G197" s="107"/>
      <c r="H197" s="102"/>
      <c r="I197" s="10"/>
      <c r="J197" s="9"/>
      <c r="K197" s="103"/>
      <c r="L197" s="92"/>
      <c r="M197" s="58"/>
      <c r="Q197" s="105"/>
      <c r="R197" s="106"/>
    </row>
    <row r="198" spans="2:18" s="99" customFormat="1">
      <c r="C198" s="100"/>
      <c r="E198" s="115"/>
      <c r="F198" s="101"/>
      <c r="G198" s="107"/>
      <c r="H198" s="102"/>
      <c r="I198" s="10"/>
      <c r="J198" s="9"/>
      <c r="K198" s="103"/>
      <c r="L198" s="92"/>
      <c r="M198" s="58"/>
      <c r="Q198" s="105"/>
      <c r="R198" s="106"/>
    </row>
    <row r="199" spans="2:18" s="99" customFormat="1">
      <c r="C199" s="148"/>
      <c r="E199" s="115"/>
      <c r="F199" s="101"/>
      <c r="G199" s="107"/>
      <c r="H199" s="102"/>
      <c r="I199" s="10"/>
      <c r="J199" s="9"/>
      <c r="K199" s="103"/>
      <c r="L199" s="92"/>
      <c r="M199" s="58"/>
      <c r="Q199" s="105"/>
      <c r="R199" s="106"/>
    </row>
    <row r="200" spans="2:18" s="99" customFormat="1">
      <c r="C200" s="100"/>
      <c r="E200" s="115"/>
      <c r="F200" s="101"/>
      <c r="G200" s="107"/>
      <c r="H200" s="102"/>
      <c r="I200" s="10"/>
      <c r="J200" s="9"/>
      <c r="K200" s="103"/>
      <c r="L200" s="92"/>
      <c r="M200" s="58"/>
      <c r="Q200" s="105"/>
      <c r="R200" s="106"/>
    </row>
    <row r="201" spans="2:18" s="99" customFormat="1">
      <c r="C201" s="100"/>
      <c r="E201" s="115"/>
      <c r="F201" s="101"/>
      <c r="G201" s="52"/>
      <c r="H201" s="102"/>
      <c r="K201" s="103"/>
      <c r="L201" s="104"/>
      <c r="N201" s="104"/>
      <c r="Q201" s="105"/>
      <c r="R201" s="106"/>
    </row>
    <row r="202" spans="2:18" s="99" customFormat="1">
      <c r="B202" s="63"/>
      <c r="E202" s="115"/>
      <c r="F202" s="101"/>
      <c r="G202" s="107"/>
      <c r="H202" s="102"/>
      <c r="I202" s="10"/>
      <c r="J202" s="9"/>
      <c r="K202" s="103"/>
      <c r="L202" s="92"/>
      <c r="M202" s="58"/>
      <c r="Q202" s="105"/>
      <c r="R202" s="106"/>
    </row>
    <row r="203" spans="2:18" s="99" customFormat="1">
      <c r="C203" s="100"/>
      <c r="E203" s="115"/>
      <c r="F203" s="101"/>
      <c r="G203" s="107"/>
      <c r="H203" s="102"/>
      <c r="I203" s="10"/>
      <c r="J203" s="9"/>
      <c r="K203" s="103"/>
      <c r="L203" s="92"/>
      <c r="M203" s="58"/>
      <c r="Q203" s="105"/>
      <c r="R203" s="106"/>
    </row>
    <row r="204" spans="2:18" s="99" customFormat="1">
      <c r="C204" s="100"/>
      <c r="E204" s="115"/>
      <c r="F204" s="101"/>
      <c r="G204" s="52"/>
      <c r="H204" s="102"/>
      <c r="I204" s="10"/>
      <c r="J204" s="9"/>
      <c r="K204" s="103"/>
      <c r="L204" s="92"/>
      <c r="M204" s="58"/>
      <c r="Q204" s="105"/>
      <c r="R204" s="106"/>
    </row>
    <row r="205" spans="2:18" s="99" customFormat="1">
      <c r="C205" s="100"/>
      <c r="E205" s="115"/>
      <c r="F205" s="101"/>
      <c r="G205" s="52"/>
      <c r="H205" s="102"/>
      <c r="I205" s="10"/>
      <c r="J205" s="9"/>
      <c r="K205" s="103"/>
      <c r="L205" s="92"/>
      <c r="M205" s="58"/>
      <c r="Q205" s="105"/>
      <c r="R205" s="106"/>
    </row>
    <row r="206" spans="2:18" s="99" customFormat="1">
      <c r="C206" s="100"/>
      <c r="E206" s="115"/>
      <c r="F206" s="101"/>
      <c r="G206" s="52"/>
      <c r="H206" s="102"/>
      <c r="K206" s="103"/>
      <c r="L206" s="92"/>
      <c r="M206" s="58"/>
      <c r="Q206" s="105"/>
      <c r="R206" s="106"/>
    </row>
    <row r="207" spans="2:18" s="99" customFormat="1">
      <c r="C207" s="100"/>
      <c r="E207" s="115"/>
      <c r="F207" s="101"/>
      <c r="G207" s="107"/>
      <c r="H207" s="102"/>
      <c r="I207" s="10"/>
      <c r="J207" s="9"/>
      <c r="K207" s="103"/>
      <c r="L207" s="92"/>
      <c r="M207" s="58"/>
      <c r="Q207" s="105"/>
      <c r="R207" s="106"/>
    </row>
    <row r="208" spans="2:18" s="99" customFormat="1">
      <c r="C208" s="100"/>
      <c r="E208" s="115"/>
      <c r="F208" s="101"/>
      <c r="G208" s="107"/>
      <c r="H208" s="102"/>
      <c r="I208" s="10"/>
      <c r="J208" s="9"/>
      <c r="K208" s="103"/>
      <c r="L208" s="92"/>
      <c r="M208" s="58"/>
      <c r="Q208" s="105"/>
      <c r="R208" s="106"/>
    </row>
    <row r="209" spans="2:18" s="99" customFormat="1">
      <c r="C209" s="100"/>
      <c r="E209" s="149"/>
      <c r="F209" s="101"/>
      <c r="G209" s="147"/>
      <c r="H209" s="102"/>
      <c r="I209" s="10"/>
      <c r="J209" s="9"/>
      <c r="K209" s="103"/>
      <c r="L209" s="92"/>
      <c r="M209" s="58"/>
      <c r="Q209" s="105"/>
      <c r="R209" s="106"/>
    </row>
    <row r="210" spans="2:18" s="99" customFormat="1">
      <c r="C210" s="100"/>
      <c r="E210" s="115"/>
      <c r="F210" s="101"/>
      <c r="G210" s="147"/>
      <c r="H210" s="102"/>
      <c r="I210" s="10"/>
      <c r="J210" s="9"/>
      <c r="K210" s="103"/>
      <c r="L210" s="92"/>
      <c r="M210" s="58"/>
      <c r="Q210" s="105"/>
      <c r="R210" s="106"/>
    </row>
    <row r="211" spans="2:18" s="99" customFormat="1">
      <c r="C211" s="100"/>
      <c r="E211" s="115"/>
      <c r="F211" s="101"/>
      <c r="G211" s="147"/>
      <c r="H211" s="102"/>
      <c r="K211" s="103"/>
      <c r="L211" s="92"/>
      <c r="M211" s="58"/>
      <c r="Q211" s="105"/>
      <c r="R211" s="106"/>
    </row>
    <row r="212" spans="2:18" s="99" customFormat="1">
      <c r="E212" s="115"/>
      <c r="F212" s="101"/>
      <c r="G212" s="107"/>
      <c r="H212" s="102"/>
      <c r="I212" s="10"/>
      <c r="J212" s="9"/>
      <c r="K212" s="103"/>
      <c r="L212" s="92"/>
      <c r="M212" s="58"/>
      <c r="Q212" s="105"/>
      <c r="R212" s="106"/>
    </row>
    <row r="213" spans="2:18" s="99" customFormat="1">
      <c r="C213" s="100"/>
      <c r="E213" s="115"/>
      <c r="F213" s="101"/>
      <c r="G213" s="147"/>
      <c r="H213" s="102"/>
      <c r="K213" s="103"/>
      <c r="L213" s="92"/>
      <c r="M213" s="58"/>
      <c r="Q213" s="105"/>
      <c r="R213" s="106"/>
    </row>
    <row r="214" spans="2:18" s="99" customFormat="1">
      <c r="E214" s="115"/>
      <c r="F214" s="101"/>
      <c r="G214" s="107"/>
      <c r="H214" s="102"/>
      <c r="I214" s="10"/>
      <c r="J214" s="9"/>
      <c r="K214" s="103"/>
      <c r="L214" s="92"/>
      <c r="M214" s="58"/>
      <c r="Q214" s="105"/>
      <c r="R214" s="106"/>
    </row>
    <row r="215" spans="2:18" s="99" customFormat="1">
      <c r="C215" s="100"/>
      <c r="E215" s="115"/>
      <c r="F215" s="101"/>
      <c r="G215" s="52"/>
      <c r="H215" s="102"/>
      <c r="K215" s="103"/>
      <c r="L215" s="92"/>
      <c r="M215" s="58"/>
      <c r="Q215" s="105"/>
      <c r="R215" s="106"/>
    </row>
    <row r="216" spans="2:18" s="99" customFormat="1">
      <c r="C216" s="100"/>
      <c r="E216" s="115"/>
      <c r="F216" s="101"/>
      <c r="G216" s="52"/>
      <c r="H216" s="102"/>
      <c r="K216" s="103"/>
      <c r="L216" s="104"/>
      <c r="N216" s="104"/>
      <c r="Q216" s="105"/>
      <c r="R216" s="106"/>
    </row>
    <row r="217" spans="2:18" s="99" customFormat="1">
      <c r="B217" s="63"/>
      <c r="E217" s="115"/>
      <c r="F217" s="101"/>
      <c r="G217" s="107"/>
      <c r="H217" s="102"/>
      <c r="I217" s="10"/>
      <c r="J217" s="9"/>
      <c r="K217" s="103"/>
      <c r="L217" s="92"/>
      <c r="M217" s="58"/>
      <c r="Q217" s="105"/>
      <c r="R217" s="106"/>
    </row>
    <row r="218" spans="2:18" s="99" customFormat="1">
      <c r="C218" s="100"/>
      <c r="E218" s="115"/>
      <c r="F218" s="101"/>
      <c r="G218" s="52"/>
      <c r="H218" s="102"/>
      <c r="K218" s="103"/>
      <c r="L218" s="92"/>
      <c r="M218" s="58"/>
      <c r="Q218" s="105"/>
      <c r="R218" s="106"/>
    </row>
    <row r="219" spans="2:18" s="99" customFormat="1">
      <c r="C219" s="100"/>
      <c r="E219" s="115"/>
      <c r="F219" s="101"/>
      <c r="G219" s="52"/>
      <c r="H219" s="102"/>
      <c r="I219" s="10"/>
      <c r="J219" s="9"/>
      <c r="K219" s="103"/>
      <c r="L219" s="92"/>
      <c r="M219" s="58"/>
      <c r="Q219" s="105"/>
      <c r="R219" s="106"/>
    </row>
    <row r="220" spans="2:18" s="99" customFormat="1">
      <c r="C220" s="100"/>
      <c r="E220" s="115"/>
      <c r="F220" s="101"/>
      <c r="G220" s="52"/>
      <c r="H220" s="102"/>
      <c r="K220" s="103"/>
      <c r="L220" s="92"/>
      <c r="M220" s="58"/>
      <c r="Q220" s="105"/>
      <c r="R220" s="106"/>
    </row>
    <row r="221" spans="2:18" s="99" customFormat="1">
      <c r="C221" s="100"/>
      <c r="E221" s="115"/>
      <c r="F221" s="101"/>
      <c r="G221" s="147"/>
      <c r="H221" s="102"/>
      <c r="K221" s="103"/>
      <c r="L221" s="92"/>
      <c r="M221" s="58"/>
      <c r="Q221" s="105"/>
      <c r="R221" s="106"/>
    </row>
    <row r="222" spans="2:18" s="99" customFormat="1">
      <c r="C222" s="100"/>
      <c r="E222" s="115"/>
      <c r="F222" s="101"/>
      <c r="G222" s="52"/>
      <c r="H222" s="102"/>
      <c r="I222" s="10"/>
      <c r="J222" s="9"/>
      <c r="K222" s="103"/>
      <c r="L222" s="92"/>
      <c r="M222" s="58"/>
      <c r="Q222" s="105"/>
      <c r="R222" s="106"/>
    </row>
    <row r="223" spans="2:18" s="99" customFormat="1">
      <c r="C223" s="100"/>
      <c r="E223" s="115"/>
      <c r="F223" s="101"/>
      <c r="G223" s="107"/>
      <c r="H223" s="102"/>
      <c r="I223" s="10"/>
      <c r="J223" s="9"/>
      <c r="K223" s="103"/>
      <c r="L223" s="92"/>
      <c r="M223" s="58"/>
      <c r="Q223" s="105"/>
      <c r="R223" s="106"/>
    </row>
    <row r="224" spans="2:18" s="99" customFormat="1">
      <c r="C224" s="100"/>
      <c r="E224" s="115"/>
      <c r="F224" s="101"/>
      <c r="G224" s="107"/>
      <c r="H224" s="102"/>
      <c r="I224" s="10"/>
      <c r="J224" s="9"/>
      <c r="K224" s="103"/>
      <c r="L224" s="92"/>
      <c r="M224" s="58"/>
      <c r="Q224" s="105"/>
      <c r="R224" s="106"/>
    </row>
    <row r="225" spans="2:18" s="99" customFormat="1">
      <c r="C225" s="100"/>
      <c r="E225" s="115"/>
      <c r="F225" s="101"/>
      <c r="G225" s="107"/>
      <c r="H225" s="102"/>
      <c r="I225" s="10"/>
      <c r="J225" s="9"/>
      <c r="K225" s="103"/>
      <c r="L225" s="92"/>
      <c r="M225" s="58"/>
      <c r="Q225" s="105"/>
      <c r="R225" s="106"/>
    </row>
    <row r="226" spans="2:18" s="99" customFormat="1">
      <c r="C226" s="100"/>
      <c r="E226" s="115"/>
      <c r="F226" s="101"/>
      <c r="G226" s="52"/>
      <c r="H226" s="102"/>
      <c r="I226" s="10"/>
      <c r="J226" s="9"/>
      <c r="K226" s="103"/>
      <c r="L226" s="92"/>
      <c r="M226" s="58"/>
      <c r="Q226" s="105"/>
      <c r="R226" s="106"/>
    </row>
    <row r="227" spans="2:18" s="99" customFormat="1">
      <c r="C227" s="100"/>
      <c r="E227" s="115"/>
      <c r="F227" s="101"/>
      <c r="G227" s="147"/>
      <c r="H227" s="102"/>
      <c r="I227" s="10"/>
      <c r="J227" s="9"/>
      <c r="K227" s="103"/>
      <c r="L227" s="92"/>
      <c r="M227" s="58"/>
      <c r="Q227" s="105"/>
      <c r="R227" s="106"/>
    </row>
    <row r="228" spans="2:18" s="99" customFormat="1">
      <c r="C228" s="100"/>
      <c r="E228" s="115"/>
      <c r="F228" s="101"/>
      <c r="G228" s="107"/>
      <c r="H228" s="102"/>
      <c r="I228" s="10"/>
      <c r="J228" s="9"/>
      <c r="K228" s="103"/>
      <c r="L228" s="92"/>
      <c r="M228" s="58"/>
      <c r="Q228" s="105"/>
      <c r="R228" s="106"/>
    </row>
    <row r="229" spans="2:18" s="99" customFormat="1">
      <c r="E229" s="115"/>
      <c r="F229" s="101"/>
      <c r="G229" s="107"/>
      <c r="H229" s="102"/>
      <c r="I229" s="10"/>
      <c r="J229" s="9"/>
      <c r="K229" s="103"/>
      <c r="L229" s="92"/>
      <c r="M229" s="58"/>
      <c r="Q229" s="105"/>
      <c r="R229" s="106"/>
    </row>
    <row r="230" spans="2:18" s="99" customFormat="1">
      <c r="C230" s="100"/>
      <c r="E230" s="115"/>
      <c r="F230" s="101"/>
      <c r="G230" s="52"/>
      <c r="H230" s="102"/>
      <c r="K230" s="103"/>
      <c r="L230" s="104"/>
      <c r="N230" s="104"/>
      <c r="Q230" s="105"/>
      <c r="R230" s="106"/>
    </row>
    <row r="231" spans="2:18" s="99" customFormat="1">
      <c r="B231" s="63"/>
      <c r="E231" s="115"/>
      <c r="F231" s="101"/>
      <c r="G231" s="147"/>
      <c r="H231" s="102"/>
      <c r="I231" s="10"/>
      <c r="J231" s="9"/>
      <c r="K231" s="103"/>
      <c r="L231" s="92"/>
      <c r="M231" s="58"/>
      <c r="Q231" s="105"/>
      <c r="R231" s="106"/>
    </row>
    <row r="232" spans="2:18" s="99" customFormat="1">
      <c r="C232" s="100"/>
      <c r="E232" s="115"/>
      <c r="F232" s="101"/>
      <c r="G232" s="147"/>
      <c r="H232" s="102"/>
      <c r="I232" s="10"/>
      <c r="J232" s="9"/>
      <c r="K232" s="103"/>
      <c r="L232" s="92"/>
      <c r="M232" s="58"/>
      <c r="Q232" s="105"/>
      <c r="R232" s="106"/>
    </row>
    <row r="233" spans="2:18" s="99" customFormat="1">
      <c r="C233" s="100"/>
      <c r="E233" s="115"/>
      <c r="F233" s="101"/>
      <c r="G233" s="52"/>
      <c r="H233" s="102"/>
      <c r="I233" s="10"/>
      <c r="J233" s="9"/>
      <c r="K233" s="103"/>
      <c r="L233" s="92"/>
      <c r="M233" s="58"/>
      <c r="Q233" s="105"/>
      <c r="R233" s="106"/>
    </row>
    <row r="234" spans="2:18" s="99" customFormat="1">
      <c r="C234" s="100"/>
      <c r="E234" s="115"/>
      <c r="F234" s="101"/>
      <c r="G234" s="107"/>
      <c r="H234" s="102"/>
      <c r="K234" s="103"/>
      <c r="L234" s="92"/>
      <c r="M234" s="58"/>
      <c r="Q234" s="105"/>
      <c r="R234" s="106"/>
    </row>
    <row r="235" spans="2:18" s="99" customFormat="1">
      <c r="C235" s="100"/>
      <c r="E235" s="115"/>
      <c r="F235" s="101"/>
      <c r="G235" s="147"/>
      <c r="H235" s="102"/>
      <c r="I235" s="10"/>
      <c r="J235" s="9"/>
      <c r="K235" s="103"/>
      <c r="L235" s="92"/>
      <c r="M235" s="58"/>
      <c r="Q235" s="105"/>
      <c r="R235" s="106"/>
    </row>
    <row r="236" spans="2:18" s="99" customFormat="1">
      <c r="C236" s="100"/>
      <c r="E236" s="115"/>
      <c r="F236" s="101"/>
      <c r="G236" s="147"/>
      <c r="H236" s="102"/>
      <c r="I236" s="10"/>
      <c r="J236" s="9"/>
      <c r="K236" s="103"/>
      <c r="L236" s="92"/>
      <c r="M236" s="58"/>
      <c r="Q236" s="105"/>
      <c r="R236" s="106"/>
    </row>
    <row r="237" spans="2:18" s="99" customFormat="1">
      <c r="C237" s="100"/>
      <c r="E237" s="115"/>
      <c r="F237" s="101"/>
      <c r="G237" s="107"/>
      <c r="H237" s="102"/>
      <c r="I237" s="10"/>
      <c r="J237" s="9"/>
      <c r="K237" s="103"/>
      <c r="L237" s="92"/>
      <c r="M237" s="58"/>
      <c r="Q237" s="105"/>
      <c r="R237" s="106"/>
    </row>
    <row r="238" spans="2:18" s="99" customFormat="1">
      <c r="C238" s="100"/>
      <c r="E238" s="115"/>
      <c r="F238" s="101"/>
      <c r="G238" s="107"/>
      <c r="H238" s="102"/>
      <c r="I238" s="10"/>
      <c r="J238" s="9"/>
      <c r="K238" s="103"/>
      <c r="L238" s="92"/>
      <c r="M238" s="58"/>
      <c r="Q238" s="105"/>
      <c r="R238" s="106"/>
    </row>
    <row r="239" spans="2:18" s="99" customFormat="1">
      <c r="E239" s="115"/>
      <c r="F239" s="101"/>
      <c r="G239" s="107"/>
      <c r="H239" s="102"/>
      <c r="I239" s="10"/>
      <c r="J239" s="9"/>
      <c r="K239" s="103"/>
      <c r="L239" s="92"/>
      <c r="M239" s="58"/>
      <c r="Q239" s="105"/>
      <c r="R239" s="106"/>
    </row>
    <row r="240" spans="2:18" s="99" customFormat="1">
      <c r="E240" s="115"/>
      <c r="F240" s="101"/>
      <c r="G240" s="52"/>
      <c r="H240" s="102"/>
      <c r="I240" s="10"/>
      <c r="J240" s="9"/>
      <c r="K240" s="103"/>
      <c r="L240" s="92"/>
      <c r="M240" s="58"/>
      <c r="Q240" s="105"/>
      <c r="R240" s="106"/>
    </row>
    <row r="241" spans="2:18" s="99" customFormat="1">
      <c r="E241" s="115"/>
      <c r="F241" s="101"/>
      <c r="G241" s="107"/>
      <c r="H241" s="102"/>
      <c r="I241" s="10"/>
      <c r="J241" s="9"/>
      <c r="K241" s="103"/>
      <c r="L241" s="92"/>
      <c r="M241" s="58"/>
      <c r="Q241" s="105"/>
      <c r="R241" s="106"/>
    </row>
    <row r="242" spans="2:18" s="99" customFormat="1">
      <c r="C242" s="100"/>
      <c r="E242" s="115"/>
      <c r="F242" s="101"/>
      <c r="G242" s="52"/>
      <c r="H242" s="102"/>
      <c r="K242" s="103"/>
      <c r="L242" s="104"/>
      <c r="N242" s="104"/>
      <c r="Q242" s="105"/>
      <c r="R242" s="106"/>
    </row>
    <row r="243" spans="2:18" s="99" customFormat="1">
      <c r="B243" s="63"/>
      <c r="E243" s="115"/>
      <c r="F243" s="101"/>
      <c r="G243" s="52"/>
      <c r="H243" s="102"/>
      <c r="I243" s="10"/>
      <c r="J243" s="9"/>
      <c r="K243" s="103"/>
      <c r="L243" s="92"/>
      <c r="M243" s="58"/>
      <c r="Q243" s="105"/>
      <c r="R243" s="106"/>
    </row>
    <row r="244" spans="2:18" s="99" customFormat="1">
      <c r="C244" s="100"/>
      <c r="E244" s="115"/>
      <c r="F244" s="101"/>
      <c r="G244" s="107"/>
      <c r="H244" s="102"/>
      <c r="I244" s="10"/>
      <c r="J244" s="9"/>
      <c r="K244" s="103"/>
      <c r="L244" s="92"/>
      <c r="M244" s="58"/>
      <c r="Q244" s="105"/>
      <c r="R244" s="106"/>
    </row>
    <row r="245" spans="2:18" s="99" customFormat="1">
      <c r="C245" s="100"/>
      <c r="E245" s="115"/>
      <c r="F245" s="101"/>
      <c r="G245" s="107"/>
      <c r="H245" s="102"/>
      <c r="K245" s="103"/>
      <c r="L245" s="92"/>
      <c r="M245" s="58"/>
      <c r="Q245" s="105"/>
      <c r="R245" s="106"/>
    </row>
    <row r="246" spans="2:18" s="99" customFormat="1">
      <c r="C246" s="100"/>
      <c r="E246" s="115"/>
      <c r="F246" s="101"/>
      <c r="G246" s="52"/>
      <c r="H246" s="102"/>
      <c r="I246" s="10"/>
      <c r="J246" s="9"/>
      <c r="K246" s="103"/>
      <c r="L246" s="92"/>
      <c r="M246" s="58"/>
      <c r="Q246" s="105"/>
      <c r="R246" s="106"/>
    </row>
    <row r="247" spans="2:18" s="99" customFormat="1">
      <c r="C247" s="100"/>
      <c r="E247" s="115"/>
      <c r="F247" s="101"/>
      <c r="G247" s="147"/>
      <c r="H247" s="102"/>
      <c r="K247" s="103"/>
      <c r="L247" s="92"/>
      <c r="M247" s="58"/>
      <c r="Q247" s="105"/>
      <c r="R247" s="106"/>
    </row>
    <row r="248" spans="2:18" s="99" customFormat="1">
      <c r="C248" s="100"/>
      <c r="E248" s="115"/>
      <c r="F248" s="101"/>
      <c r="G248" s="52"/>
      <c r="H248" s="102"/>
      <c r="K248" s="103"/>
      <c r="L248" s="92"/>
      <c r="M248" s="58"/>
      <c r="Q248" s="105"/>
      <c r="R248" s="106"/>
    </row>
    <row r="249" spans="2:18" s="99" customFormat="1">
      <c r="C249" s="100"/>
      <c r="E249" s="115"/>
      <c r="F249" s="101"/>
      <c r="G249" s="107"/>
      <c r="H249" s="102"/>
      <c r="K249" s="103"/>
      <c r="L249" s="92"/>
      <c r="M249" s="58"/>
      <c r="Q249" s="105"/>
      <c r="R249" s="106"/>
    </row>
    <row r="250" spans="2:18" s="99" customFormat="1">
      <c r="E250" s="115"/>
      <c r="F250" s="101"/>
      <c r="G250" s="107"/>
      <c r="H250" s="102"/>
      <c r="I250" s="10"/>
      <c r="J250" s="9"/>
      <c r="K250" s="103"/>
      <c r="L250" s="92"/>
      <c r="M250" s="58"/>
      <c r="Q250" s="105"/>
      <c r="R250" s="106"/>
    </row>
    <row r="251" spans="2:18" s="99" customFormat="1">
      <c r="E251" s="115"/>
      <c r="F251" s="101"/>
      <c r="G251" s="107"/>
      <c r="H251" s="102"/>
      <c r="I251" s="10"/>
      <c r="J251" s="9"/>
      <c r="K251" s="103"/>
      <c r="L251" s="92"/>
      <c r="M251" s="58"/>
      <c r="Q251" s="105"/>
      <c r="R251" s="106"/>
    </row>
    <row r="252" spans="2:18" s="99" customFormat="1">
      <c r="C252" s="100"/>
      <c r="E252" s="115"/>
      <c r="F252" s="101"/>
      <c r="G252" s="52"/>
      <c r="H252" s="102"/>
      <c r="K252" s="103"/>
      <c r="L252" s="104"/>
      <c r="N252" s="104"/>
      <c r="Q252" s="105"/>
      <c r="R252" s="106"/>
    </row>
    <row r="253" spans="2:18" s="99" customFormat="1">
      <c r="B253" s="63"/>
      <c r="E253" s="115"/>
      <c r="F253" s="101"/>
      <c r="G253" s="147"/>
      <c r="H253" s="102"/>
      <c r="K253" s="103"/>
      <c r="L253" s="92"/>
      <c r="M253" s="58"/>
      <c r="Q253" s="105"/>
      <c r="R253" s="106"/>
    </row>
    <row r="254" spans="2:18" s="99" customFormat="1">
      <c r="C254" s="100"/>
      <c r="E254" s="115"/>
      <c r="F254" s="101"/>
      <c r="G254" s="147"/>
      <c r="H254" s="102"/>
      <c r="I254" s="10"/>
      <c r="J254" s="9"/>
      <c r="K254" s="103"/>
      <c r="L254" s="92"/>
      <c r="M254" s="58"/>
      <c r="Q254" s="105"/>
      <c r="R254" s="106"/>
    </row>
    <row r="255" spans="2:18" s="99" customFormat="1">
      <c r="C255" s="100"/>
      <c r="E255" s="115"/>
      <c r="F255" s="101"/>
      <c r="G255" s="147"/>
      <c r="H255" s="102"/>
      <c r="I255" s="10"/>
      <c r="J255" s="9"/>
      <c r="K255" s="103"/>
      <c r="L255" s="92"/>
      <c r="M255" s="58"/>
      <c r="Q255" s="105"/>
      <c r="R255" s="106"/>
    </row>
    <row r="256" spans="2:18" s="99" customFormat="1">
      <c r="C256" s="100"/>
      <c r="E256" s="115"/>
      <c r="F256" s="101"/>
      <c r="G256" s="147"/>
      <c r="H256" s="102"/>
      <c r="I256" s="10"/>
      <c r="J256" s="9"/>
      <c r="K256" s="103"/>
      <c r="L256" s="92"/>
      <c r="M256" s="58"/>
      <c r="Q256" s="105"/>
      <c r="R256" s="106"/>
    </row>
    <row r="257" spans="2:18" s="99" customFormat="1">
      <c r="C257" s="100"/>
      <c r="E257" s="115"/>
      <c r="F257" s="101"/>
      <c r="G257" s="147"/>
      <c r="H257" s="102"/>
      <c r="I257" s="10"/>
      <c r="J257" s="9"/>
      <c r="K257" s="103"/>
      <c r="L257" s="92"/>
      <c r="M257" s="58"/>
      <c r="Q257" s="105"/>
      <c r="R257" s="106"/>
    </row>
    <row r="258" spans="2:18" s="99" customFormat="1">
      <c r="C258" s="100"/>
      <c r="E258" s="115"/>
      <c r="F258" s="101"/>
      <c r="G258" s="107"/>
      <c r="H258" s="102"/>
      <c r="I258" s="10"/>
      <c r="J258" s="9"/>
      <c r="K258" s="103"/>
      <c r="L258" s="92"/>
      <c r="M258" s="58"/>
      <c r="Q258" s="105"/>
      <c r="R258" s="106"/>
    </row>
    <row r="259" spans="2:18" s="99" customFormat="1">
      <c r="C259" s="100"/>
      <c r="E259" s="115"/>
      <c r="F259" s="101"/>
      <c r="G259" s="52"/>
      <c r="H259" s="102"/>
      <c r="K259" s="103"/>
      <c r="L259" s="92"/>
      <c r="M259" s="58"/>
      <c r="Q259" s="105"/>
      <c r="R259" s="106"/>
    </row>
    <row r="260" spans="2:18" s="99" customFormat="1">
      <c r="C260" s="100"/>
      <c r="E260" s="115"/>
      <c r="F260" s="101"/>
      <c r="G260" s="107"/>
      <c r="H260" s="102"/>
      <c r="I260" s="10"/>
      <c r="J260" s="9"/>
      <c r="K260" s="103"/>
      <c r="L260" s="92"/>
      <c r="M260" s="58"/>
      <c r="Q260" s="105"/>
      <c r="R260" s="106"/>
    </row>
    <row r="261" spans="2:18" s="99" customFormat="1">
      <c r="C261" s="100"/>
      <c r="E261" s="115"/>
      <c r="F261" s="101"/>
      <c r="G261" s="107"/>
      <c r="H261" s="102"/>
      <c r="I261" s="10"/>
      <c r="J261" s="9"/>
      <c r="K261" s="103"/>
      <c r="L261" s="92"/>
      <c r="M261" s="58"/>
      <c r="Q261" s="105"/>
      <c r="R261" s="106"/>
    </row>
    <row r="262" spans="2:18" s="99" customFormat="1">
      <c r="C262" s="100"/>
      <c r="E262" s="115"/>
      <c r="F262" s="101"/>
      <c r="G262" s="107"/>
      <c r="H262" s="102"/>
      <c r="I262" s="10"/>
      <c r="J262" s="9"/>
      <c r="K262" s="103"/>
      <c r="L262" s="92"/>
      <c r="M262" s="58"/>
      <c r="Q262" s="105"/>
      <c r="R262" s="106"/>
    </row>
    <row r="263" spans="2:18" s="99" customFormat="1">
      <c r="C263" s="100"/>
      <c r="E263" s="150"/>
      <c r="F263" s="101"/>
      <c r="G263" s="52"/>
      <c r="H263" s="102"/>
      <c r="I263" s="10"/>
      <c r="J263" s="9"/>
      <c r="K263" s="103"/>
      <c r="L263" s="92"/>
      <c r="M263" s="58"/>
      <c r="Q263" s="105"/>
      <c r="R263" s="106"/>
    </row>
    <row r="264" spans="2:18" s="99" customFormat="1">
      <c r="C264" s="100"/>
      <c r="E264" s="115"/>
      <c r="F264" s="101"/>
      <c r="G264" s="52"/>
      <c r="H264" s="102"/>
      <c r="I264" s="10"/>
      <c r="J264" s="9"/>
      <c r="K264" s="103"/>
      <c r="L264" s="92"/>
      <c r="M264" s="58"/>
      <c r="Q264" s="105"/>
      <c r="R264" s="106"/>
    </row>
    <row r="265" spans="2:18" s="99" customFormat="1">
      <c r="C265" s="100"/>
      <c r="E265" s="115"/>
      <c r="F265" s="101"/>
      <c r="G265" s="107"/>
      <c r="H265" s="102"/>
      <c r="I265" s="10"/>
      <c r="J265" s="9"/>
      <c r="K265" s="103"/>
      <c r="L265" s="92"/>
      <c r="M265" s="58"/>
      <c r="Q265" s="105"/>
      <c r="R265" s="106"/>
    </row>
    <row r="266" spans="2:18" s="99" customFormat="1">
      <c r="C266" s="100"/>
      <c r="E266" s="115"/>
      <c r="F266" s="101"/>
      <c r="G266" s="107"/>
      <c r="H266" s="102"/>
      <c r="K266" s="103"/>
      <c r="L266" s="104"/>
      <c r="N266" s="104"/>
      <c r="Q266" s="105"/>
      <c r="R266" s="106"/>
    </row>
    <row r="267" spans="2:18" s="99" customFormat="1">
      <c r="B267" s="63"/>
      <c r="E267" s="115"/>
      <c r="F267" s="101"/>
      <c r="G267" s="52"/>
      <c r="H267" s="102"/>
      <c r="I267" s="10"/>
      <c r="J267" s="9"/>
      <c r="K267" s="103"/>
      <c r="L267" s="92"/>
      <c r="M267" s="58"/>
      <c r="Q267" s="105"/>
      <c r="R267" s="106"/>
    </row>
    <row r="268" spans="2:18" s="99" customFormat="1">
      <c r="C268" s="100"/>
      <c r="E268" s="115"/>
      <c r="F268" s="101"/>
      <c r="G268" s="147"/>
      <c r="H268" s="102"/>
      <c r="K268" s="103"/>
      <c r="L268" s="92"/>
      <c r="M268" s="58"/>
      <c r="Q268" s="105"/>
      <c r="R268" s="106"/>
    </row>
    <row r="269" spans="2:18" s="99" customFormat="1">
      <c r="C269" s="100"/>
      <c r="E269" s="115"/>
      <c r="F269" s="101"/>
      <c r="G269" s="107"/>
      <c r="H269" s="102"/>
      <c r="I269" s="10"/>
      <c r="J269" s="9"/>
      <c r="K269" s="103"/>
      <c r="L269" s="92"/>
      <c r="M269" s="58"/>
      <c r="Q269" s="105"/>
      <c r="R269" s="106"/>
    </row>
    <row r="270" spans="2:18" s="99" customFormat="1">
      <c r="C270" s="100"/>
      <c r="E270" s="115"/>
      <c r="F270" s="101"/>
      <c r="G270" s="107"/>
      <c r="H270" s="102"/>
      <c r="I270" s="10"/>
      <c r="J270" s="9"/>
      <c r="K270" s="103"/>
      <c r="L270" s="92"/>
      <c r="M270" s="58"/>
      <c r="Q270" s="105"/>
      <c r="R270" s="106"/>
    </row>
    <row r="271" spans="2:18" s="99" customFormat="1">
      <c r="C271" s="100"/>
      <c r="E271" s="115"/>
      <c r="F271" s="101"/>
      <c r="G271" s="107"/>
      <c r="H271" s="102"/>
      <c r="I271" s="10"/>
      <c r="J271" s="9"/>
      <c r="K271" s="103"/>
      <c r="L271" s="92"/>
      <c r="M271" s="58"/>
      <c r="Q271" s="105"/>
      <c r="R271" s="106"/>
    </row>
    <row r="272" spans="2:18" s="99" customFormat="1">
      <c r="C272" s="100"/>
      <c r="E272" s="115"/>
      <c r="F272" s="101"/>
      <c r="G272" s="107"/>
      <c r="H272" s="102"/>
      <c r="K272" s="103"/>
      <c r="L272" s="92"/>
      <c r="M272" s="58"/>
      <c r="Q272" s="105"/>
      <c r="R272" s="106"/>
    </row>
    <row r="273" spans="2:18" s="99" customFormat="1">
      <c r="C273" s="100"/>
      <c r="E273" s="115"/>
      <c r="F273" s="101"/>
      <c r="G273" s="107"/>
      <c r="H273" s="102"/>
      <c r="K273" s="103"/>
      <c r="L273" s="92"/>
      <c r="M273" s="58"/>
      <c r="Q273" s="105"/>
      <c r="R273" s="106"/>
    </row>
    <row r="274" spans="2:18" s="99" customFormat="1">
      <c r="C274" s="100"/>
      <c r="E274" s="115"/>
      <c r="F274" s="101"/>
      <c r="G274" s="147"/>
      <c r="H274" s="102"/>
      <c r="K274" s="103"/>
      <c r="L274" s="92"/>
      <c r="M274" s="58"/>
      <c r="Q274" s="105"/>
      <c r="R274" s="106"/>
    </row>
    <row r="275" spans="2:18" s="99" customFormat="1">
      <c r="C275" s="100"/>
      <c r="E275" s="115"/>
      <c r="F275" s="101"/>
      <c r="G275" s="107"/>
      <c r="H275" s="102"/>
      <c r="I275" s="10"/>
      <c r="J275" s="9"/>
      <c r="K275" s="103"/>
      <c r="L275" s="92"/>
      <c r="M275" s="58"/>
      <c r="Q275" s="105"/>
      <c r="R275" s="106"/>
    </row>
    <row r="276" spans="2:18" s="99" customFormat="1">
      <c r="C276" s="100"/>
      <c r="E276" s="115"/>
      <c r="F276" s="101"/>
      <c r="G276" s="52"/>
      <c r="H276" s="102"/>
      <c r="K276" s="103"/>
      <c r="L276" s="92"/>
      <c r="M276" s="58"/>
      <c r="Q276" s="105"/>
      <c r="R276" s="106"/>
    </row>
    <row r="277" spans="2:18" s="99" customFormat="1">
      <c r="E277" s="115"/>
      <c r="F277" s="101"/>
      <c r="G277" s="107"/>
      <c r="H277" s="102"/>
      <c r="I277" s="10"/>
      <c r="J277" s="9"/>
      <c r="K277" s="103"/>
      <c r="L277" s="92"/>
      <c r="M277" s="58"/>
      <c r="Q277" s="105"/>
      <c r="R277" s="106"/>
    </row>
    <row r="278" spans="2:18" s="99" customFormat="1">
      <c r="C278" s="100"/>
      <c r="E278" s="115"/>
      <c r="F278" s="101"/>
      <c r="G278" s="52"/>
      <c r="H278" s="102"/>
      <c r="K278" s="103"/>
      <c r="L278" s="92"/>
      <c r="M278" s="58"/>
      <c r="Q278" s="105"/>
      <c r="R278" s="106"/>
    </row>
    <row r="279" spans="2:18" s="99" customFormat="1">
      <c r="C279" s="100"/>
      <c r="E279" s="115"/>
      <c r="F279" s="101"/>
      <c r="G279" s="52"/>
      <c r="H279" s="102"/>
      <c r="K279" s="103"/>
      <c r="L279" s="104"/>
      <c r="N279" s="104"/>
      <c r="Q279" s="105"/>
      <c r="R279" s="106"/>
    </row>
    <row r="280" spans="2:18" s="99" customFormat="1">
      <c r="B280" s="63"/>
      <c r="E280" s="115"/>
      <c r="F280" s="101"/>
      <c r="G280" s="147"/>
      <c r="H280" s="102"/>
      <c r="K280" s="103"/>
      <c r="L280" s="92"/>
      <c r="M280" s="58"/>
      <c r="Q280" s="105"/>
      <c r="R280" s="106"/>
    </row>
    <row r="281" spans="2:18" s="99" customFormat="1">
      <c r="C281" s="100"/>
      <c r="E281" s="115"/>
      <c r="F281" s="101"/>
      <c r="G281" s="107"/>
      <c r="H281" s="102"/>
      <c r="I281" s="10"/>
      <c r="J281" s="9"/>
      <c r="K281" s="103"/>
      <c r="L281" s="92"/>
      <c r="M281" s="58"/>
      <c r="Q281" s="105"/>
      <c r="R281" s="106"/>
    </row>
    <row r="282" spans="2:18" s="99" customFormat="1">
      <c r="C282" s="100"/>
      <c r="E282" s="115"/>
      <c r="F282" s="101"/>
      <c r="G282" s="52"/>
      <c r="H282" s="102"/>
      <c r="I282" s="10"/>
      <c r="J282" s="9"/>
      <c r="K282" s="103"/>
      <c r="L282" s="92"/>
      <c r="M282" s="58"/>
      <c r="Q282" s="105"/>
      <c r="R282" s="106"/>
    </row>
    <row r="283" spans="2:18" s="99" customFormat="1">
      <c r="C283" s="100"/>
      <c r="E283" s="115"/>
      <c r="F283" s="101"/>
      <c r="G283" s="52"/>
      <c r="H283" s="102"/>
      <c r="I283" s="10"/>
      <c r="J283" s="9"/>
      <c r="K283" s="103"/>
      <c r="L283" s="92"/>
      <c r="M283" s="58"/>
      <c r="Q283" s="105"/>
      <c r="R283" s="106"/>
    </row>
    <row r="284" spans="2:18" s="99" customFormat="1">
      <c r="C284" s="100"/>
      <c r="E284" s="115"/>
      <c r="F284" s="101"/>
      <c r="G284" s="52"/>
      <c r="H284" s="102"/>
      <c r="I284" s="10"/>
      <c r="J284" s="9"/>
      <c r="K284" s="103"/>
      <c r="L284" s="92"/>
      <c r="M284" s="58"/>
      <c r="Q284" s="105"/>
      <c r="R284" s="106"/>
    </row>
    <row r="285" spans="2:18" s="99" customFormat="1">
      <c r="C285" s="100"/>
      <c r="E285" s="115"/>
      <c r="F285" s="101"/>
      <c r="G285" s="52"/>
      <c r="H285" s="102"/>
      <c r="K285" s="103"/>
      <c r="L285" s="92"/>
      <c r="M285" s="58"/>
      <c r="Q285" s="105"/>
      <c r="R285" s="106"/>
    </row>
    <row r="286" spans="2:18" s="99" customFormat="1">
      <c r="C286" s="100"/>
      <c r="E286" s="115"/>
      <c r="F286" s="101"/>
      <c r="G286" s="107"/>
      <c r="H286" s="102"/>
      <c r="I286" s="10"/>
      <c r="J286" s="9"/>
      <c r="K286" s="103"/>
      <c r="L286" s="92"/>
      <c r="M286" s="58"/>
      <c r="Q286" s="105"/>
      <c r="R286" s="106"/>
    </row>
    <row r="287" spans="2:18" s="99" customFormat="1">
      <c r="C287" s="100"/>
      <c r="E287" s="115"/>
      <c r="F287" s="101"/>
      <c r="G287" s="147"/>
      <c r="H287" s="102"/>
      <c r="K287" s="103"/>
      <c r="L287" s="92"/>
      <c r="M287" s="58"/>
      <c r="Q287" s="105"/>
      <c r="R287" s="106"/>
    </row>
    <row r="288" spans="2:18" s="99" customFormat="1">
      <c r="C288" s="100"/>
      <c r="E288" s="115"/>
      <c r="F288" s="101"/>
      <c r="G288" s="107"/>
      <c r="H288" s="102"/>
      <c r="I288" s="10"/>
      <c r="J288" s="9"/>
      <c r="K288" s="103"/>
      <c r="L288" s="92"/>
      <c r="M288" s="58"/>
      <c r="Q288" s="105"/>
      <c r="R288" s="106"/>
    </row>
    <row r="289" spans="2:18" s="99" customFormat="1">
      <c r="C289" s="100"/>
      <c r="E289" s="115"/>
      <c r="F289" s="101"/>
      <c r="G289" s="107"/>
      <c r="H289" s="102"/>
      <c r="I289" s="10"/>
      <c r="J289" s="9"/>
      <c r="K289" s="103"/>
      <c r="L289" s="92"/>
      <c r="M289" s="58"/>
      <c r="Q289" s="105"/>
      <c r="R289" s="106"/>
    </row>
    <row r="290" spans="2:18" s="99" customFormat="1">
      <c r="E290" s="115"/>
      <c r="F290" s="101"/>
      <c r="G290" s="107"/>
      <c r="H290" s="102"/>
      <c r="I290" s="10"/>
      <c r="J290" s="9"/>
      <c r="K290" s="103"/>
      <c r="L290" s="92"/>
      <c r="M290" s="58"/>
      <c r="Q290" s="105"/>
      <c r="R290" s="106"/>
    </row>
    <row r="291" spans="2:18" s="99" customFormat="1">
      <c r="C291" s="100"/>
      <c r="E291" s="115"/>
      <c r="F291" s="101"/>
      <c r="G291" s="52"/>
      <c r="H291" s="102"/>
      <c r="K291" s="103"/>
      <c r="N291" s="104"/>
      <c r="Q291" s="105"/>
      <c r="R291" s="106"/>
    </row>
    <row r="292" spans="2:18" s="99" customFormat="1">
      <c r="B292" s="63"/>
      <c r="E292" s="115"/>
      <c r="F292" s="101"/>
      <c r="G292" s="107"/>
      <c r="H292" s="102"/>
      <c r="I292" s="10"/>
      <c r="J292" s="9"/>
      <c r="K292" s="103"/>
      <c r="L292" s="92"/>
      <c r="M292" s="58"/>
      <c r="Q292" s="105"/>
      <c r="R292" s="106"/>
    </row>
    <row r="293" spans="2:18" s="99" customFormat="1">
      <c r="C293" s="100"/>
      <c r="E293" s="115"/>
      <c r="F293" s="101"/>
      <c r="G293" s="52"/>
      <c r="H293" s="102"/>
      <c r="I293" s="10"/>
      <c r="J293" s="9"/>
      <c r="K293" s="103"/>
      <c r="L293" s="92"/>
      <c r="M293" s="58"/>
      <c r="Q293" s="105"/>
      <c r="R293" s="106"/>
    </row>
    <row r="294" spans="2:18" s="99" customFormat="1">
      <c r="C294" s="100"/>
      <c r="E294" s="115"/>
      <c r="F294" s="101"/>
      <c r="G294" s="107"/>
      <c r="H294" s="102"/>
      <c r="I294" s="10"/>
      <c r="J294" s="9"/>
      <c r="K294" s="103"/>
      <c r="L294" s="92"/>
      <c r="M294" s="58"/>
      <c r="Q294" s="105"/>
      <c r="R294" s="106"/>
    </row>
    <row r="295" spans="2:18" s="99" customFormat="1">
      <c r="C295" s="100"/>
      <c r="E295" s="115"/>
      <c r="F295" s="101"/>
      <c r="G295" s="107"/>
      <c r="H295" s="102"/>
      <c r="I295" s="10"/>
      <c r="J295" s="9"/>
      <c r="K295" s="103"/>
      <c r="L295" s="92"/>
      <c r="M295" s="58"/>
      <c r="Q295" s="105"/>
      <c r="R295" s="106"/>
    </row>
    <row r="296" spans="2:18" s="99" customFormat="1">
      <c r="C296" s="100"/>
      <c r="E296" s="115"/>
      <c r="F296" s="101"/>
      <c r="G296" s="52"/>
      <c r="H296" s="102"/>
      <c r="K296" s="103"/>
      <c r="L296" s="92"/>
      <c r="M296" s="58"/>
      <c r="Q296" s="105"/>
      <c r="R296" s="106"/>
    </row>
    <row r="297" spans="2:18" s="99" customFormat="1">
      <c r="C297" s="100"/>
      <c r="E297" s="115"/>
      <c r="F297" s="101"/>
      <c r="G297" s="147"/>
      <c r="H297" s="102"/>
      <c r="I297" s="10"/>
      <c r="J297" s="9"/>
      <c r="K297" s="103"/>
      <c r="L297" s="92"/>
      <c r="M297" s="58"/>
      <c r="Q297" s="105"/>
      <c r="R297" s="106"/>
    </row>
    <row r="298" spans="2:18" s="99" customFormat="1">
      <c r="C298" s="100"/>
      <c r="E298" s="115"/>
      <c r="F298" s="101"/>
      <c r="G298" s="147"/>
      <c r="H298" s="102"/>
      <c r="K298" s="103"/>
      <c r="L298" s="92"/>
      <c r="M298" s="58"/>
      <c r="Q298" s="105"/>
      <c r="R298" s="106"/>
    </row>
    <row r="299" spans="2:18" s="99" customFormat="1">
      <c r="E299" s="115"/>
      <c r="F299" s="101"/>
      <c r="G299" s="107"/>
      <c r="H299" s="102"/>
      <c r="I299" s="10"/>
      <c r="J299" s="9"/>
      <c r="K299" s="103"/>
      <c r="L299" s="92"/>
      <c r="M299" s="58"/>
      <c r="Q299" s="105"/>
      <c r="R299" s="106"/>
    </row>
    <row r="300" spans="2:18" s="99" customFormat="1">
      <c r="C300" s="100"/>
      <c r="E300" s="115"/>
      <c r="F300" s="101"/>
      <c r="G300" s="107"/>
      <c r="H300" s="102"/>
      <c r="I300" s="10"/>
      <c r="J300" s="9"/>
      <c r="K300" s="103"/>
      <c r="L300" s="92"/>
      <c r="M300" s="58"/>
      <c r="Q300" s="105"/>
      <c r="R300" s="106"/>
    </row>
    <row r="301" spans="2:18" s="99" customFormat="1">
      <c r="C301" s="100"/>
      <c r="E301" s="115"/>
      <c r="F301" s="101"/>
      <c r="G301" s="147"/>
      <c r="H301" s="102"/>
      <c r="I301" s="10"/>
      <c r="J301" s="9"/>
      <c r="K301" s="103"/>
      <c r="L301" s="92"/>
      <c r="M301" s="58"/>
      <c r="Q301" s="105"/>
      <c r="R301" s="106"/>
    </row>
    <row r="302" spans="2:18" s="99" customFormat="1">
      <c r="C302" s="100"/>
      <c r="E302" s="115"/>
      <c r="F302" s="101"/>
      <c r="G302" s="52"/>
      <c r="H302" s="102"/>
      <c r="K302" s="103"/>
      <c r="L302" s="92"/>
      <c r="M302" s="58"/>
      <c r="Q302" s="105"/>
      <c r="R302" s="106"/>
    </row>
    <row r="303" spans="2:18" s="99" customFormat="1">
      <c r="C303" s="100"/>
      <c r="E303" s="115"/>
      <c r="F303" s="101"/>
      <c r="G303" s="107"/>
      <c r="H303" s="102"/>
      <c r="I303" s="10"/>
      <c r="J303" s="9"/>
      <c r="K303" s="103"/>
      <c r="L303" s="92"/>
      <c r="M303" s="58"/>
      <c r="Q303" s="105"/>
      <c r="R303" s="106"/>
    </row>
    <row r="304" spans="2:18" s="99" customFormat="1">
      <c r="C304" s="100"/>
      <c r="E304" s="115"/>
      <c r="F304" s="101"/>
      <c r="G304" s="52"/>
      <c r="H304" s="102"/>
      <c r="K304" s="103"/>
      <c r="L304" s="104"/>
      <c r="N304" s="104"/>
      <c r="Q304" s="105"/>
      <c r="R304" s="106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25" sqref="V25"/>
    </sheetView>
  </sheetViews>
  <sheetFormatPr defaultRowHeight="16.5"/>
  <cols>
    <col min="1" max="1" width="4.875" bestFit="1" customWidth="1"/>
    <col min="2" max="2" width="16.625" bestFit="1" customWidth="1"/>
    <col min="3" max="3" width="24.5" bestFit="1" customWidth="1"/>
    <col min="4" max="4" width="14.625" customWidth="1"/>
    <col min="5" max="5" width="45.375" customWidth="1"/>
    <col min="6" max="6" width="10.875" style="53" bestFit="1" customWidth="1"/>
    <col min="7" max="7" width="5.25" bestFit="1" customWidth="1"/>
    <col min="8" max="8" width="17" style="122" bestFit="1" customWidth="1"/>
    <col min="9" max="9" width="11.25" bestFit="1" customWidth="1"/>
    <col min="10" max="10" width="6.75" bestFit="1" customWidth="1"/>
    <col min="11" max="11" width="8.5" style="2" bestFit="1" customWidth="1"/>
    <col min="12" max="12" width="9.875" bestFit="1" customWidth="1"/>
    <col min="13" max="13" width="7.75" bestFit="1" customWidth="1"/>
    <col min="16" max="16" width="12.125" style="53" bestFit="1" customWidth="1"/>
    <col min="17" max="17" width="10.125" style="121" bestFit="1" customWidth="1"/>
    <col min="18" max="18" width="6.875" style="116" bestFit="1" customWidth="1"/>
  </cols>
  <sheetData>
    <row r="1" spans="1:20" s="2" customFormat="1" ht="82.5">
      <c r="A1" s="62" t="s">
        <v>0</v>
      </c>
      <c r="B1" s="62" t="s">
        <v>2</v>
      </c>
      <c r="C1" s="62" t="s">
        <v>3</v>
      </c>
      <c r="D1" s="2" t="s">
        <v>37</v>
      </c>
      <c r="E1" s="1" t="s">
        <v>4</v>
      </c>
      <c r="F1" s="13" t="s">
        <v>173</v>
      </c>
      <c r="G1" s="4" t="s">
        <v>158</v>
      </c>
      <c r="H1" s="84" t="s">
        <v>174</v>
      </c>
      <c r="I1" s="2" t="s">
        <v>1</v>
      </c>
      <c r="J1" s="11" t="s">
        <v>7</v>
      </c>
      <c r="K1" s="12" t="s">
        <v>220</v>
      </c>
      <c r="L1" s="15" t="s">
        <v>8</v>
      </c>
      <c r="M1" s="16" t="s">
        <v>9</v>
      </c>
      <c r="N1" s="8" t="s">
        <v>10</v>
      </c>
      <c r="O1" s="8" t="s">
        <v>11</v>
      </c>
      <c r="P1" s="2" t="s">
        <v>12</v>
      </c>
      <c r="Q1" s="117" t="s">
        <v>35</v>
      </c>
      <c r="R1" s="17" t="s">
        <v>34</v>
      </c>
    </row>
    <row r="2" spans="1:20" s="29" customFormat="1">
      <c r="A2" s="7">
        <v>1</v>
      </c>
      <c r="B2" s="7" t="s">
        <v>437</v>
      </c>
      <c r="C2" s="110" t="s">
        <v>438</v>
      </c>
      <c r="D2" s="6" t="s">
        <v>439</v>
      </c>
      <c r="E2" s="77" t="s">
        <v>441</v>
      </c>
      <c r="F2" s="83">
        <v>1</v>
      </c>
      <c r="G2" s="29" t="s">
        <v>49</v>
      </c>
      <c r="H2" s="85">
        <f>F2/4</f>
        <v>0.25</v>
      </c>
      <c r="I2" s="10" t="s">
        <v>28</v>
      </c>
      <c r="J2" s="9">
        <v>3</v>
      </c>
      <c r="K2" s="13">
        <v>0.25</v>
      </c>
      <c r="L2" s="30">
        <f>K2/3.5*100</f>
        <v>7.1428571428571423</v>
      </c>
      <c r="M2" s="30">
        <f t="shared" ref="M2:M66" si="0">L2*J2</f>
        <v>21.428571428571427</v>
      </c>
      <c r="Q2" s="118"/>
      <c r="R2" s="24"/>
    </row>
    <row r="3" spans="1:20" s="29" customFormat="1">
      <c r="A3" s="7"/>
      <c r="B3" s="7"/>
      <c r="C3" s="110"/>
      <c r="E3" s="77" t="s">
        <v>442</v>
      </c>
      <c r="F3" s="83">
        <v>4</v>
      </c>
      <c r="G3" s="29" t="s">
        <v>163</v>
      </c>
      <c r="H3" s="85">
        <f t="shared" ref="H3:H8" si="1">F3/4</f>
        <v>1</v>
      </c>
      <c r="I3" s="10" t="s">
        <v>30</v>
      </c>
      <c r="J3" s="9">
        <v>2</v>
      </c>
      <c r="K3" s="13">
        <v>1</v>
      </c>
      <c r="L3" s="30">
        <f t="shared" ref="L3:L10" si="2">K3/3.5*100</f>
        <v>28.571428571428569</v>
      </c>
      <c r="M3" s="30">
        <f t="shared" si="0"/>
        <v>57.142857142857139</v>
      </c>
      <c r="Q3" s="118"/>
      <c r="R3" s="24"/>
    </row>
    <row r="4" spans="1:20" s="29" customFormat="1">
      <c r="A4" s="7"/>
      <c r="B4" s="7"/>
      <c r="C4" s="110"/>
      <c r="E4" s="77" t="s">
        <v>443</v>
      </c>
      <c r="F4" s="83">
        <v>0.75</v>
      </c>
      <c r="G4" s="29" t="s">
        <v>161</v>
      </c>
      <c r="H4" s="85">
        <f t="shared" si="1"/>
        <v>0.1875</v>
      </c>
      <c r="I4" s="10"/>
      <c r="J4" s="9"/>
      <c r="K4" s="13">
        <v>0</v>
      </c>
      <c r="L4" s="30">
        <f t="shared" si="2"/>
        <v>0</v>
      </c>
      <c r="M4" s="30">
        <f t="shared" si="0"/>
        <v>0</v>
      </c>
      <c r="Q4" s="118"/>
      <c r="R4" s="24"/>
    </row>
    <row r="5" spans="1:20" s="29" customFormat="1">
      <c r="A5" s="7"/>
      <c r="B5" s="7"/>
      <c r="C5" s="110"/>
      <c r="E5" s="110" t="s">
        <v>215</v>
      </c>
      <c r="F5" s="83">
        <v>0.25</v>
      </c>
      <c r="G5" s="29" t="s">
        <v>161</v>
      </c>
      <c r="H5" s="85">
        <f t="shared" si="1"/>
        <v>6.25E-2</v>
      </c>
      <c r="I5" s="10"/>
      <c r="J5" s="9"/>
      <c r="K5" s="13">
        <v>0</v>
      </c>
      <c r="L5" s="30">
        <f t="shared" si="2"/>
        <v>0</v>
      </c>
      <c r="M5" s="30">
        <f t="shared" si="0"/>
        <v>0</v>
      </c>
      <c r="Q5" s="118"/>
      <c r="R5" s="24"/>
    </row>
    <row r="6" spans="1:20" s="29" customFormat="1">
      <c r="A6" s="7"/>
      <c r="B6" s="7"/>
      <c r="C6" s="110"/>
      <c r="E6" s="113" t="s">
        <v>444</v>
      </c>
      <c r="F6" s="83">
        <v>0.5</v>
      </c>
      <c r="G6" s="29" t="s">
        <v>161</v>
      </c>
      <c r="H6" s="85">
        <f t="shared" si="1"/>
        <v>0.125</v>
      </c>
      <c r="I6" s="10"/>
      <c r="J6" s="9"/>
      <c r="K6" s="13">
        <v>0</v>
      </c>
      <c r="L6" s="30">
        <f t="shared" si="2"/>
        <v>0</v>
      </c>
      <c r="M6" s="30">
        <f t="shared" si="0"/>
        <v>0</v>
      </c>
      <c r="Q6" s="118"/>
      <c r="R6" s="24"/>
      <c r="S6" s="62"/>
      <c r="T6" s="62"/>
    </row>
    <row r="7" spans="1:20" s="29" customFormat="1">
      <c r="A7" s="7"/>
      <c r="B7" s="7"/>
      <c r="C7" s="110"/>
      <c r="E7" s="110" t="s">
        <v>149</v>
      </c>
      <c r="F7" s="83">
        <v>0.25</v>
      </c>
      <c r="G7" s="29" t="s">
        <v>161</v>
      </c>
      <c r="H7" s="85">
        <f t="shared" si="1"/>
        <v>6.25E-2</v>
      </c>
      <c r="I7" s="10"/>
      <c r="J7" s="9"/>
      <c r="K7" s="13">
        <v>0</v>
      </c>
      <c r="L7" s="30">
        <f t="shared" si="2"/>
        <v>0</v>
      </c>
      <c r="M7" s="30">
        <f t="shared" si="0"/>
        <v>0</v>
      </c>
      <c r="Q7" s="118">
        <v>0.75</v>
      </c>
      <c r="R7" s="24"/>
    </row>
    <row r="8" spans="1:20" s="29" customFormat="1">
      <c r="A8" s="7"/>
      <c r="B8" s="7"/>
      <c r="C8" s="110"/>
      <c r="E8" s="110" t="s">
        <v>445</v>
      </c>
      <c r="F8" s="83">
        <v>6</v>
      </c>
      <c r="G8" s="29" t="s">
        <v>163</v>
      </c>
      <c r="H8" s="85">
        <f t="shared" si="1"/>
        <v>1.5</v>
      </c>
      <c r="I8" s="10" t="s">
        <v>15</v>
      </c>
      <c r="J8" s="9">
        <v>2</v>
      </c>
      <c r="K8" s="13">
        <v>2.25</v>
      </c>
      <c r="L8" s="30">
        <f t="shared" si="2"/>
        <v>64.285714285714292</v>
      </c>
      <c r="M8" s="30">
        <f t="shared" si="0"/>
        <v>128.57142857142858</v>
      </c>
      <c r="Q8" s="118"/>
      <c r="R8" s="24"/>
      <c r="S8" s="62"/>
      <c r="T8" s="62"/>
    </row>
    <row r="9" spans="1:20" s="29" customFormat="1">
      <c r="A9" s="7"/>
      <c r="B9" s="7"/>
      <c r="C9" s="110"/>
      <c r="E9" s="115" t="s">
        <v>455</v>
      </c>
      <c r="F9" s="53"/>
      <c r="G9" s="29" t="s">
        <v>161</v>
      </c>
      <c r="H9" s="122">
        <v>2</v>
      </c>
      <c r="I9" s="10"/>
      <c r="J9" s="9"/>
      <c r="K9" s="13"/>
      <c r="L9" s="30"/>
      <c r="M9" s="30"/>
      <c r="Q9" s="118"/>
      <c r="R9" s="24">
        <v>10</v>
      </c>
      <c r="S9" s="62"/>
      <c r="T9" s="62"/>
    </row>
    <row r="10" spans="1:20" s="29" customFormat="1">
      <c r="A10" s="63"/>
      <c r="B10" s="63"/>
      <c r="C10" s="6" t="s">
        <v>461</v>
      </c>
      <c r="D10" s="52"/>
      <c r="E10" s="100" t="s">
        <v>440</v>
      </c>
      <c r="F10" s="101">
        <v>0</v>
      </c>
      <c r="G10" s="29" t="s">
        <v>49</v>
      </c>
      <c r="H10" s="102">
        <v>1</v>
      </c>
      <c r="I10" s="10"/>
      <c r="J10" s="10">
        <v>0</v>
      </c>
      <c r="K10" s="13">
        <v>0</v>
      </c>
      <c r="L10" s="30">
        <f t="shared" si="2"/>
        <v>0</v>
      </c>
      <c r="M10" s="30">
        <f t="shared" si="0"/>
        <v>0</v>
      </c>
      <c r="N10" s="58"/>
      <c r="O10" s="52"/>
      <c r="P10" s="52"/>
      <c r="Q10" s="119"/>
      <c r="R10" s="114"/>
      <c r="S10" s="63"/>
      <c r="T10" s="7"/>
    </row>
    <row r="11" spans="1:20" s="29" customFormat="1" ht="17.25" thickBot="1">
      <c r="A11" s="47"/>
      <c r="B11" s="47"/>
      <c r="C11" s="93"/>
      <c r="D11" s="37"/>
      <c r="E11" s="72"/>
      <c r="F11" s="87"/>
      <c r="G11" s="81"/>
      <c r="H11" s="86"/>
      <c r="I11" s="44"/>
      <c r="J11" s="44"/>
      <c r="K11" s="45">
        <f>SUM(K2:K10)</f>
        <v>3.5</v>
      </c>
      <c r="L11" s="38">
        <f>SUM(L2:L10)</f>
        <v>100</v>
      </c>
      <c r="M11" s="38"/>
      <c r="N11" s="38">
        <f>SUM(M2:M10)</f>
        <v>207.14285714285717</v>
      </c>
      <c r="O11" s="37"/>
      <c r="P11" s="37" t="s">
        <v>49</v>
      </c>
      <c r="Q11" s="120"/>
      <c r="R11" s="49">
        <f>SUM(R2:R10)</f>
        <v>10</v>
      </c>
      <c r="S11" s="7"/>
      <c r="T11" s="7"/>
    </row>
    <row r="12" spans="1:20">
      <c r="A12">
        <v>2</v>
      </c>
      <c r="B12" s="7" t="s">
        <v>449</v>
      </c>
      <c r="C12" s="6" t="s">
        <v>446</v>
      </c>
      <c r="D12" s="6" t="s">
        <v>439</v>
      </c>
      <c r="E12" s="115" t="s">
        <v>450</v>
      </c>
      <c r="G12" s="29" t="s">
        <v>163</v>
      </c>
      <c r="H12" s="122">
        <v>2</v>
      </c>
      <c r="I12" s="10" t="s">
        <v>114</v>
      </c>
      <c r="J12" s="9">
        <v>1</v>
      </c>
      <c r="K12" s="13">
        <v>1</v>
      </c>
      <c r="L12" s="30">
        <f>K12/6.13*100</f>
        <v>16.31321370309951</v>
      </c>
      <c r="M12" s="30">
        <f t="shared" si="0"/>
        <v>16.31321370309951</v>
      </c>
    </row>
    <row r="13" spans="1:20">
      <c r="E13" s="115" t="s">
        <v>442</v>
      </c>
      <c r="G13" s="29" t="s">
        <v>163</v>
      </c>
      <c r="H13" s="122">
        <v>2</v>
      </c>
      <c r="I13" s="10" t="s">
        <v>30</v>
      </c>
      <c r="J13" s="9">
        <v>2</v>
      </c>
      <c r="K13" s="13">
        <v>2</v>
      </c>
      <c r="L13" s="30">
        <f t="shared" ref="L13:L19" si="3">K13/6.13*100</f>
        <v>32.626427406199021</v>
      </c>
      <c r="M13" s="30">
        <f t="shared" si="0"/>
        <v>65.252854812398041</v>
      </c>
    </row>
    <row r="14" spans="1:20">
      <c r="E14" s="115" t="s">
        <v>1362</v>
      </c>
      <c r="G14" s="29" t="s">
        <v>160</v>
      </c>
      <c r="H14" s="122">
        <v>2</v>
      </c>
      <c r="I14" s="10" t="s">
        <v>452</v>
      </c>
      <c r="J14" s="9">
        <v>5</v>
      </c>
      <c r="K14" s="2">
        <v>0.125</v>
      </c>
      <c r="L14" s="30">
        <f t="shared" si="3"/>
        <v>2.0391517128874388</v>
      </c>
      <c r="M14" s="30">
        <f t="shared" si="0"/>
        <v>10.195758564437194</v>
      </c>
    </row>
    <row r="15" spans="1:20">
      <c r="E15" s="115" t="s">
        <v>149</v>
      </c>
      <c r="G15" s="29" t="s">
        <v>161</v>
      </c>
      <c r="H15" s="122">
        <v>0.1</v>
      </c>
      <c r="K15" s="13">
        <v>0</v>
      </c>
      <c r="L15" s="30">
        <f t="shared" si="3"/>
        <v>0</v>
      </c>
      <c r="M15" s="30">
        <f t="shared" si="0"/>
        <v>0</v>
      </c>
      <c r="Q15" s="121">
        <v>0.3</v>
      </c>
    </row>
    <row r="16" spans="1:20">
      <c r="E16" s="115" t="s">
        <v>455</v>
      </c>
      <c r="G16" s="29" t="s">
        <v>161</v>
      </c>
      <c r="H16" s="122">
        <v>1</v>
      </c>
      <c r="K16" s="13">
        <v>0</v>
      </c>
      <c r="L16" s="30">
        <f t="shared" si="3"/>
        <v>0</v>
      </c>
      <c r="M16" s="30">
        <f t="shared" si="0"/>
        <v>0</v>
      </c>
      <c r="R16" s="116">
        <v>5</v>
      </c>
    </row>
    <row r="17" spans="1:18">
      <c r="C17" s="6" t="s">
        <v>447</v>
      </c>
      <c r="E17" s="115" t="s">
        <v>451</v>
      </c>
      <c r="G17" s="29" t="s">
        <v>49</v>
      </c>
      <c r="H17" s="122">
        <v>1</v>
      </c>
      <c r="I17" s="10" t="s">
        <v>453</v>
      </c>
      <c r="J17" s="9">
        <v>5</v>
      </c>
      <c r="K17" s="13">
        <v>2</v>
      </c>
      <c r="L17" s="30">
        <f t="shared" si="3"/>
        <v>32.626427406199021</v>
      </c>
      <c r="M17" s="30">
        <f t="shared" si="0"/>
        <v>163.1321370309951</v>
      </c>
    </row>
    <row r="18" spans="1:18">
      <c r="C18" s="6" t="s">
        <v>448</v>
      </c>
      <c r="E18" s="6" t="s">
        <v>448</v>
      </c>
      <c r="G18" s="29" t="s">
        <v>163</v>
      </c>
      <c r="H18" s="122">
        <v>1</v>
      </c>
      <c r="I18" s="10" t="s">
        <v>15</v>
      </c>
      <c r="J18" s="9">
        <v>2</v>
      </c>
      <c r="K18" s="13">
        <v>1</v>
      </c>
      <c r="L18" s="30">
        <f t="shared" si="3"/>
        <v>16.31321370309951</v>
      </c>
      <c r="M18" s="30">
        <f t="shared" si="0"/>
        <v>32.626427406199021</v>
      </c>
    </row>
    <row r="19" spans="1:18">
      <c r="C19" s="6"/>
      <c r="E19" s="115" t="s">
        <v>454</v>
      </c>
      <c r="G19" s="29" t="s">
        <v>161</v>
      </c>
      <c r="H19" s="122">
        <v>1</v>
      </c>
      <c r="I19" s="10"/>
      <c r="J19" s="9"/>
      <c r="K19" s="13">
        <v>0</v>
      </c>
      <c r="L19" s="30">
        <f t="shared" si="3"/>
        <v>0</v>
      </c>
      <c r="M19" s="30">
        <f t="shared" si="0"/>
        <v>0</v>
      </c>
      <c r="R19" s="116">
        <v>5</v>
      </c>
    </row>
    <row r="20" spans="1:18" ht="17.25" thickBot="1">
      <c r="A20" s="123"/>
      <c r="B20" s="123"/>
      <c r="C20" s="123"/>
      <c r="D20" s="123"/>
      <c r="E20" s="123"/>
      <c r="F20" s="40"/>
      <c r="G20" s="123"/>
      <c r="H20" s="124"/>
      <c r="I20" s="123"/>
      <c r="J20" s="123"/>
      <c r="K20" s="26">
        <f>SUM(K12:K19)</f>
        <v>6.125</v>
      </c>
      <c r="L20" s="125">
        <f>SUM(L12:L19)</f>
        <v>99.9184339314845</v>
      </c>
      <c r="M20" s="123"/>
      <c r="N20" s="125">
        <f>SUM(M12:M18)</f>
        <v>287.52039151712887</v>
      </c>
      <c r="O20" s="123"/>
      <c r="P20" s="40" t="s">
        <v>13</v>
      </c>
      <c r="Q20" s="126">
        <f>SUM(Q12:Q18)</f>
        <v>0.3</v>
      </c>
      <c r="R20" s="127">
        <f>SUM(R12:R19)</f>
        <v>10</v>
      </c>
    </row>
    <row r="21" spans="1:18">
      <c r="A21">
        <v>3</v>
      </c>
      <c r="B21" s="7" t="s">
        <v>462</v>
      </c>
      <c r="C21" s="128" t="s">
        <v>691</v>
      </c>
      <c r="D21" s="6" t="s">
        <v>439</v>
      </c>
      <c r="E21" s="115" t="s">
        <v>383</v>
      </c>
      <c r="F21" s="83">
        <v>1</v>
      </c>
      <c r="G21" s="29" t="s">
        <v>49</v>
      </c>
      <c r="H21" s="85">
        <f>F21/2</f>
        <v>0.5</v>
      </c>
      <c r="I21" s="10" t="s">
        <v>15</v>
      </c>
      <c r="J21" s="9">
        <v>2</v>
      </c>
      <c r="K21" s="13">
        <v>2.66</v>
      </c>
      <c r="L21" s="30">
        <f>K21/4.16*100</f>
        <v>63.942307692307701</v>
      </c>
      <c r="M21" s="30">
        <f t="shared" si="0"/>
        <v>127.8846153846154</v>
      </c>
    </row>
    <row r="22" spans="1:18">
      <c r="E22" s="129" t="s">
        <v>456</v>
      </c>
      <c r="F22" s="53">
        <v>1</v>
      </c>
      <c r="G22" s="29" t="s">
        <v>160</v>
      </c>
      <c r="H22" s="85">
        <f t="shared" ref="H22:H27" si="4">F22/2</f>
        <v>0.5</v>
      </c>
      <c r="K22" s="13">
        <v>0</v>
      </c>
      <c r="L22" s="30">
        <f t="shared" ref="L22:L29" si="5">K22/4.16*100</f>
        <v>0</v>
      </c>
      <c r="M22" s="30">
        <f t="shared" si="0"/>
        <v>0</v>
      </c>
    </row>
    <row r="23" spans="1:18">
      <c r="E23" s="115" t="s">
        <v>182</v>
      </c>
      <c r="F23" s="53">
        <v>1</v>
      </c>
      <c r="G23" s="29" t="s">
        <v>161</v>
      </c>
      <c r="H23" s="85">
        <f t="shared" si="4"/>
        <v>0.5</v>
      </c>
      <c r="K23" s="13">
        <v>0</v>
      </c>
      <c r="L23" s="30">
        <f t="shared" si="5"/>
        <v>0</v>
      </c>
      <c r="M23" s="30">
        <f t="shared" si="0"/>
        <v>0</v>
      </c>
    </row>
    <row r="24" spans="1:18">
      <c r="C24" s="6"/>
      <c r="E24" s="129" t="s">
        <v>457</v>
      </c>
      <c r="F24" s="53">
        <v>0.25</v>
      </c>
      <c r="G24" s="29" t="s">
        <v>161</v>
      </c>
      <c r="H24" s="85">
        <f t="shared" si="4"/>
        <v>0.125</v>
      </c>
      <c r="K24" s="13">
        <v>0</v>
      </c>
      <c r="L24" s="30">
        <f t="shared" si="5"/>
        <v>0</v>
      </c>
      <c r="M24" s="30">
        <f t="shared" si="0"/>
        <v>0</v>
      </c>
    </row>
    <row r="25" spans="1:18">
      <c r="E25" s="115" t="s">
        <v>149</v>
      </c>
      <c r="F25" s="53">
        <v>0.25</v>
      </c>
      <c r="G25" s="29" t="s">
        <v>161</v>
      </c>
      <c r="H25" s="85">
        <f t="shared" si="4"/>
        <v>0.125</v>
      </c>
      <c r="K25" s="13">
        <v>0</v>
      </c>
      <c r="L25" s="30">
        <f t="shared" si="5"/>
        <v>0</v>
      </c>
      <c r="M25" s="30">
        <f t="shared" si="0"/>
        <v>0</v>
      </c>
      <c r="Q25" s="121">
        <v>0.18</v>
      </c>
    </row>
    <row r="26" spans="1:18">
      <c r="E26" s="129" t="s">
        <v>458</v>
      </c>
      <c r="F26" s="53">
        <v>1</v>
      </c>
      <c r="G26" s="29" t="s">
        <v>163</v>
      </c>
      <c r="H26" s="85">
        <f t="shared" si="4"/>
        <v>0.5</v>
      </c>
      <c r="I26" s="10" t="s">
        <v>30</v>
      </c>
      <c r="J26" s="9">
        <v>2</v>
      </c>
      <c r="K26" s="13">
        <v>0.5</v>
      </c>
      <c r="L26" s="30">
        <f t="shared" si="5"/>
        <v>12.019230769230768</v>
      </c>
      <c r="M26" s="30">
        <f t="shared" si="0"/>
        <v>24.038461538461537</v>
      </c>
    </row>
    <row r="27" spans="1:18">
      <c r="E27" s="129" t="s">
        <v>460</v>
      </c>
      <c r="F27" s="53">
        <v>2</v>
      </c>
      <c r="G27" s="29" t="s">
        <v>160</v>
      </c>
      <c r="H27" s="85">
        <f t="shared" si="4"/>
        <v>1</v>
      </c>
      <c r="K27" s="13">
        <v>0</v>
      </c>
      <c r="L27" s="30">
        <f t="shared" si="5"/>
        <v>0</v>
      </c>
      <c r="M27" s="30">
        <f t="shared" si="0"/>
        <v>0</v>
      </c>
      <c r="R27" s="116">
        <v>15</v>
      </c>
    </row>
    <row r="28" spans="1:18">
      <c r="C28" s="6" t="s">
        <v>692</v>
      </c>
      <c r="G28" s="29" t="s">
        <v>49</v>
      </c>
      <c r="H28" s="122">
        <v>0.75</v>
      </c>
      <c r="I28" s="10" t="s">
        <v>453</v>
      </c>
      <c r="J28" s="9">
        <v>5</v>
      </c>
      <c r="K28" s="13">
        <v>1</v>
      </c>
      <c r="L28" s="30">
        <f t="shared" si="5"/>
        <v>24.038461538461537</v>
      </c>
      <c r="M28" s="30">
        <f t="shared" si="0"/>
        <v>120.19230769230768</v>
      </c>
    </row>
    <row r="29" spans="1:18">
      <c r="C29" s="6" t="s">
        <v>461</v>
      </c>
      <c r="G29" s="29" t="s">
        <v>49</v>
      </c>
      <c r="H29" s="122">
        <v>1</v>
      </c>
      <c r="I29" s="10"/>
      <c r="J29" s="9"/>
      <c r="K29" s="13">
        <v>0</v>
      </c>
      <c r="L29" s="30">
        <f t="shared" si="5"/>
        <v>0</v>
      </c>
      <c r="M29" s="30">
        <f t="shared" si="0"/>
        <v>0</v>
      </c>
    </row>
    <row r="30" spans="1:18" ht="17.25" thickBot="1">
      <c r="A30" s="123"/>
      <c r="B30" s="123"/>
      <c r="C30" s="123"/>
      <c r="D30" s="123"/>
      <c r="E30" s="123"/>
      <c r="F30" s="40"/>
      <c r="G30" s="123"/>
      <c r="H30" s="124"/>
      <c r="I30" s="123"/>
      <c r="J30" s="123"/>
      <c r="K30" s="26">
        <f>SUM(K21:K29)</f>
        <v>4.16</v>
      </c>
      <c r="L30" s="125">
        <f>SUM(L21:L29)</f>
        <v>100</v>
      </c>
      <c r="M30" s="123"/>
      <c r="N30" s="125">
        <f>SUM(M21:M29)</f>
        <v>272.11538461538464</v>
      </c>
      <c r="O30" s="123"/>
      <c r="P30" s="40" t="s">
        <v>13</v>
      </c>
      <c r="Q30" s="126">
        <f>SUM(Q21:Q29)</f>
        <v>0.18</v>
      </c>
      <c r="R30" s="127">
        <f>SUM(R21:R29)</f>
        <v>15</v>
      </c>
    </row>
    <row r="31" spans="1:18">
      <c r="A31">
        <v>4</v>
      </c>
      <c r="B31" s="7" t="s">
        <v>463</v>
      </c>
      <c r="C31" t="s">
        <v>693</v>
      </c>
      <c r="D31" s="6" t="s">
        <v>439</v>
      </c>
      <c r="E31" t="s">
        <v>464</v>
      </c>
      <c r="G31" s="29" t="s">
        <v>163</v>
      </c>
      <c r="H31" s="122">
        <v>2</v>
      </c>
      <c r="I31" s="10" t="s">
        <v>15</v>
      </c>
      <c r="J31" s="9">
        <v>2</v>
      </c>
      <c r="K31" s="13">
        <v>2</v>
      </c>
      <c r="L31" s="30">
        <f>K31/4.8*100</f>
        <v>41.666666666666671</v>
      </c>
      <c r="M31" s="30">
        <f t="shared" si="0"/>
        <v>83.333333333333343</v>
      </c>
    </row>
    <row r="32" spans="1:18">
      <c r="E32" t="s">
        <v>465</v>
      </c>
      <c r="G32" s="29" t="s">
        <v>161</v>
      </c>
      <c r="H32" s="122">
        <v>4</v>
      </c>
      <c r="I32" s="10" t="s">
        <v>28</v>
      </c>
      <c r="J32" s="9">
        <v>3</v>
      </c>
      <c r="K32" s="13">
        <v>1.3</v>
      </c>
      <c r="L32" s="30">
        <f t="shared" ref="L32:L36" si="6">K32/4.8*100</f>
        <v>27.083333333333336</v>
      </c>
      <c r="M32" s="30">
        <f t="shared" si="0"/>
        <v>81.25</v>
      </c>
      <c r="R32" s="116">
        <v>6.5</v>
      </c>
    </row>
    <row r="33" spans="1:18">
      <c r="E33" t="s">
        <v>466</v>
      </c>
      <c r="G33" s="29" t="s">
        <v>161</v>
      </c>
      <c r="H33" s="122">
        <v>4</v>
      </c>
      <c r="K33" s="13">
        <v>0</v>
      </c>
      <c r="L33" s="30">
        <f t="shared" si="6"/>
        <v>0</v>
      </c>
      <c r="M33" s="30">
        <f t="shared" si="0"/>
        <v>0</v>
      </c>
    </row>
    <row r="34" spans="1:18">
      <c r="E34" t="s">
        <v>237</v>
      </c>
      <c r="G34" s="29" t="s">
        <v>163</v>
      </c>
      <c r="H34" s="122">
        <v>9</v>
      </c>
      <c r="I34" s="10" t="s">
        <v>453</v>
      </c>
      <c r="J34" s="9">
        <v>5</v>
      </c>
      <c r="K34" s="13">
        <v>0.5</v>
      </c>
      <c r="L34" s="30">
        <f t="shared" si="6"/>
        <v>10.416666666666668</v>
      </c>
      <c r="M34" s="30">
        <f t="shared" si="0"/>
        <v>52.083333333333343</v>
      </c>
    </row>
    <row r="35" spans="1:18">
      <c r="E35" t="s">
        <v>467</v>
      </c>
      <c r="G35" s="29" t="s">
        <v>163</v>
      </c>
      <c r="H35" s="122">
        <v>0.5</v>
      </c>
      <c r="I35" s="10" t="s">
        <v>453</v>
      </c>
      <c r="J35" s="9">
        <v>5</v>
      </c>
      <c r="K35" s="13">
        <v>1</v>
      </c>
      <c r="L35" s="30">
        <f t="shared" si="6"/>
        <v>20.833333333333336</v>
      </c>
      <c r="M35" s="30">
        <f t="shared" si="0"/>
        <v>104.16666666666669</v>
      </c>
    </row>
    <row r="36" spans="1:18">
      <c r="C36" s="6" t="s">
        <v>461</v>
      </c>
      <c r="K36" s="13">
        <v>0</v>
      </c>
      <c r="L36" s="30">
        <f t="shared" si="6"/>
        <v>0</v>
      </c>
      <c r="M36" s="30">
        <f t="shared" si="0"/>
        <v>0</v>
      </c>
    </row>
    <row r="37" spans="1:18" ht="17.25" thickBot="1">
      <c r="A37" s="123"/>
      <c r="B37" s="123"/>
      <c r="C37" s="123"/>
      <c r="D37" s="123"/>
      <c r="E37" s="123"/>
      <c r="F37" s="40"/>
      <c r="G37" s="123"/>
      <c r="H37" s="124"/>
      <c r="I37" s="123"/>
      <c r="J37" s="123"/>
      <c r="K37" s="26">
        <f>SUM(K31:K36)</f>
        <v>4.8</v>
      </c>
      <c r="L37" s="125">
        <f>SUM(L31:L36)</f>
        <v>100</v>
      </c>
      <c r="M37" s="123"/>
      <c r="N37" s="125">
        <f>SUM(M31:M36)</f>
        <v>320.83333333333337</v>
      </c>
      <c r="O37" s="123"/>
      <c r="P37" s="40" t="s">
        <v>59</v>
      </c>
      <c r="Q37" s="126">
        <v>0</v>
      </c>
      <c r="R37" s="127">
        <f>SUM(R31:R36)</f>
        <v>6.5</v>
      </c>
    </row>
    <row r="38" spans="1:18">
      <c r="A38">
        <v>5</v>
      </c>
      <c r="B38" s="7" t="s">
        <v>468</v>
      </c>
      <c r="C38" s="6" t="s">
        <v>694</v>
      </c>
      <c r="D38" s="6" t="s">
        <v>439</v>
      </c>
      <c r="E38" s="129" t="s">
        <v>469</v>
      </c>
      <c r="F38" s="53">
        <v>4</v>
      </c>
      <c r="G38" s="29" t="s">
        <v>163</v>
      </c>
      <c r="H38" s="85">
        <f>F38/2</f>
        <v>2</v>
      </c>
      <c r="I38" s="10" t="s">
        <v>114</v>
      </c>
      <c r="J38" s="9">
        <v>1</v>
      </c>
      <c r="K38" s="13">
        <v>1</v>
      </c>
      <c r="L38" s="30">
        <f>K38/5.19*100</f>
        <v>19.267822736030826</v>
      </c>
      <c r="M38" s="30">
        <f t="shared" si="0"/>
        <v>19.267822736030826</v>
      </c>
    </row>
    <row r="39" spans="1:18">
      <c r="E39" s="129" t="s">
        <v>470</v>
      </c>
      <c r="F39" s="53">
        <v>4</v>
      </c>
      <c r="G39" s="29" t="s">
        <v>163</v>
      </c>
      <c r="H39" s="85">
        <f t="shared" ref="H39:H45" si="7">F39/2</f>
        <v>2</v>
      </c>
      <c r="I39" s="10" t="s">
        <v>30</v>
      </c>
      <c r="J39" s="9">
        <v>2</v>
      </c>
      <c r="K39" s="13">
        <v>2</v>
      </c>
      <c r="L39" s="30">
        <f t="shared" ref="L39:L44" si="8">K39/5.19*100</f>
        <v>38.535645472061653</v>
      </c>
      <c r="M39" s="30">
        <f t="shared" si="0"/>
        <v>77.071290944123305</v>
      </c>
    </row>
    <row r="40" spans="1:18">
      <c r="E40" s="129" t="s">
        <v>471</v>
      </c>
      <c r="F40" s="53">
        <v>2</v>
      </c>
      <c r="G40" s="29" t="s">
        <v>163</v>
      </c>
      <c r="H40" s="85">
        <f t="shared" si="7"/>
        <v>1</v>
      </c>
      <c r="I40" s="10" t="s">
        <v>15</v>
      </c>
      <c r="J40" s="9">
        <v>2</v>
      </c>
      <c r="K40" s="13">
        <v>2</v>
      </c>
      <c r="L40" s="30">
        <f t="shared" si="8"/>
        <v>38.535645472061653</v>
      </c>
      <c r="M40" s="30">
        <f t="shared" si="0"/>
        <v>77.071290944123305</v>
      </c>
    </row>
    <row r="41" spans="1:18">
      <c r="E41" s="129" t="s">
        <v>472</v>
      </c>
      <c r="F41" s="53">
        <v>0.25</v>
      </c>
      <c r="G41" s="29" t="s">
        <v>49</v>
      </c>
      <c r="H41" s="85">
        <f t="shared" si="7"/>
        <v>0.125</v>
      </c>
      <c r="I41" s="10" t="s">
        <v>28</v>
      </c>
      <c r="J41" s="9">
        <v>3</v>
      </c>
      <c r="K41" s="13">
        <v>0.19</v>
      </c>
      <c r="L41" s="30">
        <f t="shared" si="8"/>
        <v>3.6608863198458574</v>
      </c>
      <c r="M41" s="30">
        <f t="shared" si="0"/>
        <v>10.982658959537572</v>
      </c>
    </row>
    <row r="42" spans="1:18">
      <c r="E42" s="129" t="s">
        <v>473</v>
      </c>
      <c r="F42" s="53">
        <v>0.25</v>
      </c>
      <c r="G42" s="29" t="s">
        <v>49</v>
      </c>
      <c r="H42" s="85">
        <f t="shared" si="7"/>
        <v>0.125</v>
      </c>
      <c r="K42" s="13">
        <v>0</v>
      </c>
      <c r="L42" s="30">
        <f t="shared" si="8"/>
        <v>0</v>
      </c>
      <c r="M42" s="30">
        <f t="shared" si="0"/>
        <v>0</v>
      </c>
      <c r="R42" s="116">
        <v>10</v>
      </c>
    </row>
    <row r="43" spans="1:18">
      <c r="E43" s="129" t="s">
        <v>474</v>
      </c>
      <c r="F43" s="53">
        <v>1</v>
      </c>
      <c r="G43" s="29" t="s">
        <v>161</v>
      </c>
      <c r="H43" s="85">
        <f t="shared" si="7"/>
        <v>0.5</v>
      </c>
      <c r="K43" s="13">
        <v>0</v>
      </c>
      <c r="L43" s="30">
        <f t="shared" si="8"/>
        <v>0</v>
      </c>
      <c r="M43" s="30">
        <f t="shared" si="0"/>
        <v>0</v>
      </c>
    </row>
    <row r="44" spans="1:18">
      <c r="C44" s="6" t="s">
        <v>461</v>
      </c>
      <c r="H44" s="85">
        <f t="shared" si="7"/>
        <v>0</v>
      </c>
      <c r="K44" s="13">
        <v>0</v>
      </c>
      <c r="L44" s="30">
        <f t="shared" si="8"/>
        <v>0</v>
      </c>
      <c r="M44" s="30">
        <f t="shared" si="0"/>
        <v>0</v>
      </c>
    </row>
    <row r="45" spans="1:18" ht="17.25" thickBot="1">
      <c r="A45" s="123"/>
      <c r="B45" s="123"/>
      <c r="C45" s="123"/>
      <c r="D45" s="123"/>
      <c r="E45" s="123"/>
      <c r="F45" s="40"/>
      <c r="G45" s="123"/>
      <c r="H45" s="86">
        <f t="shared" si="7"/>
        <v>0</v>
      </c>
      <c r="I45" s="123"/>
      <c r="J45" s="123"/>
      <c r="K45" s="26">
        <f>SUM(K38:K44)</f>
        <v>5.19</v>
      </c>
      <c r="L45" s="125">
        <f>SUM(L38:L44)</f>
        <v>99.999999999999986</v>
      </c>
      <c r="M45" s="38"/>
      <c r="N45" s="125">
        <f>SUM(M38:M44)</f>
        <v>184.39306358381498</v>
      </c>
      <c r="O45" s="123"/>
      <c r="P45" s="40" t="s">
        <v>77</v>
      </c>
      <c r="Q45" s="126"/>
      <c r="R45" s="127">
        <f>SUM(R38:R44)</f>
        <v>10</v>
      </c>
    </row>
    <row r="46" spans="1:18">
      <c r="A46">
        <v>6</v>
      </c>
      <c r="B46" s="7" t="s">
        <v>475</v>
      </c>
      <c r="C46" t="s">
        <v>695</v>
      </c>
      <c r="D46" t="s">
        <v>476</v>
      </c>
      <c r="E46" s="129" t="s">
        <v>477</v>
      </c>
      <c r="F46" s="53">
        <v>28</v>
      </c>
      <c r="G46" s="29" t="s">
        <v>194</v>
      </c>
      <c r="H46" s="85">
        <f t="shared" ref="H46:H53" si="9">F46/4</f>
        <v>7</v>
      </c>
      <c r="I46" s="10" t="s">
        <v>484</v>
      </c>
      <c r="J46" s="9">
        <v>1</v>
      </c>
      <c r="K46" s="13">
        <v>7</v>
      </c>
      <c r="L46" s="30">
        <f>K46/11.9*100</f>
        <v>58.82352941176471</v>
      </c>
      <c r="M46" s="30">
        <f t="shared" si="0"/>
        <v>58.82352941176471</v>
      </c>
    </row>
    <row r="47" spans="1:18">
      <c r="E47" s="129" t="s">
        <v>478</v>
      </c>
      <c r="G47" s="29" t="s">
        <v>161</v>
      </c>
      <c r="H47" s="122">
        <v>0.1</v>
      </c>
      <c r="K47" s="13">
        <v>0</v>
      </c>
      <c r="L47" s="30">
        <f t="shared" ref="L47:L53" si="10">K47/11.9*100</f>
        <v>0</v>
      </c>
      <c r="M47" s="30">
        <f t="shared" si="0"/>
        <v>0</v>
      </c>
      <c r="Q47" s="121">
        <v>0.3</v>
      </c>
    </row>
    <row r="48" spans="1:18">
      <c r="E48" s="129" t="s">
        <v>485</v>
      </c>
      <c r="F48" s="53">
        <v>1</v>
      </c>
      <c r="G48" s="29" t="s">
        <v>163</v>
      </c>
      <c r="H48" s="85">
        <f t="shared" si="9"/>
        <v>0.25</v>
      </c>
      <c r="I48" s="10" t="s">
        <v>486</v>
      </c>
      <c r="J48" s="9">
        <v>2</v>
      </c>
      <c r="K48" s="13">
        <v>0.25</v>
      </c>
      <c r="L48" s="30">
        <f t="shared" si="10"/>
        <v>2.1008403361344534</v>
      </c>
      <c r="M48" s="30">
        <f t="shared" si="0"/>
        <v>4.2016806722689068</v>
      </c>
    </row>
    <row r="49" spans="1:18">
      <c r="E49" s="129" t="s">
        <v>479</v>
      </c>
      <c r="F49" s="53">
        <v>4</v>
      </c>
      <c r="G49" s="29" t="s">
        <v>163</v>
      </c>
      <c r="H49" s="85">
        <f t="shared" si="9"/>
        <v>1</v>
      </c>
      <c r="I49" s="10" t="s">
        <v>15</v>
      </c>
      <c r="J49" s="9">
        <v>2</v>
      </c>
      <c r="K49" s="13">
        <v>2</v>
      </c>
      <c r="L49" s="30">
        <f t="shared" si="10"/>
        <v>16.806722689075627</v>
      </c>
      <c r="M49" s="30">
        <f t="shared" si="0"/>
        <v>33.613445378151255</v>
      </c>
    </row>
    <row r="50" spans="1:18">
      <c r="C50" s="6" t="s">
        <v>696</v>
      </c>
      <c r="D50" t="s">
        <v>476</v>
      </c>
      <c r="E50" s="129" t="s">
        <v>480</v>
      </c>
      <c r="F50" s="53">
        <v>32</v>
      </c>
      <c r="G50" s="29" t="s">
        <v>194</v>
      </c>
      <c r="H50" s="85">
        <f t="shared" si="9"/>
        <v>8</v>
      </c>
      <c r="I50" s="10" t="s">
        <v>32</v>
      </c>
      <c r="J50" s="9">
        <v>2</v>
      </c>
      <c r="K50" s="13">
        <v>2.67</v>
      </c>
      <c r="L50" s="30">
        <f t="shared" si="10"/>
        <v>22.436974789915965</v>
      </c>
      <c r="M50" s="30">
        <f t="shared" si="0"/>
        <v>44.87394957983193</v>
      </c>
    </row>
    <row r="51" spans="1:18">
      <c r="E51" s="129" t="s">
        <v>481</v>
      </c>
      <c r="F51" s="53">
        <v>2</v>
      </c>
      <c r="G51" s="29" t="s">
        <v>160</v>
      </c>
      <c r="H51" s="85">
        <f t="shared" si="9"/>
        <v>0.5</v>
      </c>
      <c r="K51" s="13">
        <v>0</v>
      </c>
      <c r="L51" s="30">
        <f t="shared" si="10"/>
        <v>0</v>
      </c>
      <c r="M51" s="30">
        <f t="shared" si="0"/>
        <v>0</v>
      </c>
      <c r="R51" s="116">
        <v>1.875</v>
      </c>
    </row>
    <row r="52" spans="1:18">
      <c r="E52" s="129" t="s">
        <v>482</v>
      </c>
      <c r="F52" s="53">
        <v>1</v>
      </c>
      <c r="G52" s="29" t="s">
        <v>161</v>
      </c>
      <c r="H52" s="85">
        <f t="shared" si="9"/>
        <v>0.25</v>
      </c>
      <c r="K52" s="13">
        <v>0</v>
      </c>
      <c r="L52" s="30">
        <f t="shared" si="10"/>
        <v>0</v>
      </c>
      <c r="M52" s="30">
        <f t="shared" si="0"/>
        <v>0</v>
      </c>
      <c r="Q52" s="121">
        <v>0.75</v>
      </c>
    </row>
    <row r="53" spans="1:18">
      <c r="E53" s="129" t="s">
        <v>483</v>
      </c>
      <c r="F53" s="53">
        <v>0.3</v>
      </c>
      <c r="G53" s="29" t="s">
        <v>49</v>
      </c>
      <c r="H53" s="85">
        <f t="shared" si="9"/>
        <v>7.4999999999999997E-2</v>
      </c>
      <c r="K53" s="13">
        <v>0</v>
      </c>
      <c r="L53" s="30">
        <f t="shared" si="10"/>
        <v>0</v>
      </c>
      <c r="M53" s="30">
        <f t="shared" si="0"/>
        <v>0</v>
      </c>
      <c r="R53" s="116">
        <v>18</v>
      </c>
    </row>
    <row r="54" spans="1:18" ht="17.25" thickBot="1">
      <c r="A54" s="123"/>
      <c r="B54" s="123"/>
      <c r="C54" s="93"/>
      <c r="D54" s="123"/>
      <c r="E54" s="93"/>
      <c r="F54" s="40"/>
      <c r="G54" s="37"/>
      <c r="H54" s="86"/>
      <c r="I54" s="123"/>
      <c r="J54" s="123"/>
      <c r="K54" s="45">
        <f>SUM(K46:K53)</f>
        <v>11.92</v>
      </c>
      <c r="L54" s="125">
        <f>SUM(L46:L53)</f>
        <v>100.16806722689076</v>
      </c>
      <c r="M54" s="123"/>
      <c r="N54" s="125">
        <f>SUM(M46:M53)</f>
        <v>141.51260504201679</v>
      </c>
      <c r="O54" s="123"/>
      <c r="P54" s="40" t="s">
        <v>47</v>
      </c>
      <c r="Q54" s="126">
        <f>SUM(Q46:Q53)</f>
        <v>1.05</v>
      </c>
      <c r="R54" s="127">
        <f>SUM(R46:R53)</f>
        <v>19.875</v>
      </c>
    </row>
    <row r="55" spans="1:18">
      <c r="A55">
        <v>7</v>
      </c>
      <c r="B55" s="7" t="s">
        <v>488</v>
      </c>
      <c r="C55" s="6" t="s">
        <v>487</v>
      </c>
      <c r="D55" t="s">
        <v>476</v>
      </c>
      <c r="E55" s="130" t="s">
        <v>1363</v>
      </c>
      <c r="F55" s="53">
        <v>1</v>
      </c>
      <c r="G55" s="63" t="s">
        <v>159</v>
      </c>
      <c r="H55" s="85">
        <f>F55/4</f>
        <v>0.25</v>
      </c>
      <c r="I55" s="10" t="s">
        <v>491</v>
      </c>
      <c r="J55" s="9">
        <v>5</v>
      </c>
      <c r="K55" s="13">
        <v>0.5</v>
      </c>
      <c r="L55" s="30">
        <f>K55/7.5*100</f>
        <v>6.666666666666667</v>
      </c>
      <c r="M55" s="30">
        <f t="shared" si="0"/>
        <v>33.333333333333336</v>
      </c>
    </row>
    <row r="56" spans="1:18">
      <c r="E56" s="130" t="s">
        <v>489</v>
      </c>
      <c r="F56" s="53">
        <v>2</v>
      </c>
      <c r="G56" s="63" t="s">
        <v>159</v>
      </c>
      <c r="H56" s="85">
        <f t="shared" ref="H56:H57" si="11">F56/4</f>
        <v>0.5</v>
      </c>
      <c r="I56" s="10" t="s">
        <v>492</v>
      </c>
      <c r="J56" s="9">
        <v>1</v>
      </c>
      <c r="K56" s="13">
        <v>5</v>
      </c>
      <c r="L56" s="30">
        <f t="shared" ref="L56:L57" si="12">K56/7.5*100</f>
        <v>66.666666666666657</v>
      </c>
      <c r="M56" s="30">
        <f t="shared" si="0"/>
        <v>66.666666666666657</v>
      </c>
    </row>
    <row r="57" spans="1:18">
      <c r="E57" s="130" t="s">
        <v>490</v>
      </c>
      <c r="F57" s="53">
        <v>4</v>
      </c>
      <c r="G57" s="29" t="s">
        <v>163</v>
      </c>
      <c r="H57" s="85">
        <f t="shared" si="11"/>
        <v>1</v>
      </c>
      <c r="I57" s="10" t="s">
        <v>15</v>
      </c>
      <c r="J57" s="9">
        <v>2</v>
      </c>
      <c r="K57" s="13">
        <v>2</v>
      </c>
      <c r="L57" s="30">
        <f t="shared" si="12"/>
        <v>26.666666666666668</v>
      </c>
      <c r="M57" s="30">
        <f t="shared" si="0"/>
        <v>53.333333333333336</v>
      </c>
    </row>
    <row r="58" spans="1:18" ht="17.25" thickBot="1">
      <c r="A58" s="123"/>
      <c r="B58" s="123"/>
      <c r="C58" s="123"/>
      <c r="D58" s="123"/>
      <c r="E58" s="123"/>
      <c r="F58" s="40"/>
      <c r="G58" s="123"/>
      <c r="H58" s="124"/>
      <c r="I58" s="123"/>
      <c r="J58" s="123"/>
      <c r="K58" s="26">
        <f>SUM(K55:K57)</f>
        <v>7.5</v>
      </c>
      <c r="L58" s="125">
        <f>SUM(L55:L57)</f>
        <v>100</v>
      </c>
      <c r="M58" s="123"/>
      <c r="N58" s="125">
        <f>SUM(M55:M57)</f>
        <v>153.33333333333334</v>
      </c>
      <c r="O58" s="123"/>
      <c r="P58" s="40" t="s">
        <v>77</v>
      </c>
      <c r="Q58" s="126">
        <v>0</v>
      </c>
      <c r="R58" s="127">
        <v>0</v>
      </c>
    </row>
    <row r="59" spans="1:18">
      <c r="A59">
        <v>8</v>
      </c>
      <c r="B59" s="7" t="s">
        <v>495</v>
      </c>
      <c r="C59" s="6" t="s">
        <v>697</v>
      </c>
      <c r="D59" t="s">
        <v>476</v>
      </c>
      <c r="E59" s="129" t="s">
        <v>383</v>
      </c>
      <c r="F59" s="53">
        <v>3</v>
      </c>
      <c r="G59" s="29" t="s">
        <v>49</v>
      </c>
      <c r="H59" s="85">
        <f>F59/6</f>
        <v>0.5</v>
      </c>
      <c r="I59" s="10" t="s">
        <v>15</v>
      </c>
      <c r="J59" s="9">
        <v>2</v>
      </c>
      <c r="K59" s="13">
        <v>2.66</v>
      </c>
      <c r="L59" s="30">
        <f>K59/11.18*100</f>
        <v>23.79248658318426</v>
      </c>
      <c r="M59" s="30">
        <f t="shared" si="0"/>
        <v>47.58497316636852</v>
      </c>
    </row>
    <row r="60" spans="1:18">
      <c r="B60" s="6"/>
      <c r="E60" s="129" t="s">
        <v>182</v>
      </c>
      <c r="F60" s="53">
        <v>1</v>
      </c>
      <c r="G60" s="29" t="s">
        <v>160</v>
      </c>
      <c r="H60" s="85">
        <f t="shared" ref="H60:H107" si="13">F60/6</f>
        <v>0.16666666666666666</v>
      </c>
      <c r="K60" s="13">
        <v>0</v>
      </c>
      <c r="L60" s="30">
        <f t="shared" ref="L60:L80" si="14">K60/11.18*100</f>
        <v>0</v>
      </c>
      <c r="M60" s="30">
        <f t="shared" si="0"/>
        <v>0</v>
      </c>
    </row>
    <row r="61" spans="1:18">
      <c r="B61" s="6"/>
      <c r="E61" s="129" t="s">
        <v>496</v>
      </c>
      <c r="F61" s="53">
        <v>1</v>
      </c>
      <c r="G61" s="29" t="s">
        <v>160</v>
      </c>
      <c r="H61" s="85">
        <f t="shared" si="13"/>
        <v>0.16666666666666666</v>
      </c>
      <c r="K61" s="13">
        <v>0</v>
      </c>
      <c r="L61" s="30">
        <f t="shared" si="14"/>
        <v>0</v>
      </c>
      <c r="M61" s="30">
        <f t="shared" si="0"/>
        <v>0</v>
      </c>
    </row>
    <row r="62" spans="1:18">
      <c r="E62" s="129" t="s">
        <v>497</v>
      </c>
      <c r="F62" s="53">
        <v>1.5</v>
      </c>
      <c r="G62" s="29" t="s">
        <v>161</v>
      </c>
      <c r="H62" s="85">
        <f t="shared" si="13"/>
        <v>0.25</v>
      </c>
      <c r="K62" s="13">
        <v>0</v>
      </c>
      <c r="L62" s="30">
        <f t="shared" si="14"/>
        <v>0</v>
      </c>
      <c r="M62" s="30">
        <f t="shared" si="0"/>
        <v>0</v>
      </c>
      <c r="Q62" s="121">
        <v>0.75</v>
      </c>
    </row>
    <row r="63" spans="1:18">
      <c r="E63" s="129" t="s">
        <v>457</v>
      </c>
      <c r="F63" s="53">
        <v>1.5</v>
      </c>
      <c r="G63" s="29" t="s">
        <v>161</v>
      </c>
      <c r="H63" s="85">
        <f t="shared" si="13"/>
        <v>0.25</v>
      </c>
      <c r="K63" s="13">
        <v>0</v>
      </c>
      <c r="L63" s="30">
        <f t="shared" si="14"/>
        <v>0</v>
      </c>
      <c r="M63" s="30">
        <f t="shared" si="0"/>
        <v>0</v>
      </c>
    </row>
    <row r="64" spans="1:18">
      <c r="E64" s="129" t="s">
        <v>498</v>
      </c>
      <c r="F64" s="53">
        <v>4</v>
      </c>
      <c r="G64" s="29" t="s">
        <v>194</v>
      </c>
      <c r="H64" s="85">
        <f t="shared" si="13"/>
        <v>0.66666666666666663</v>
      </c>
      <c r="K64" s="13">
        <v>0</v>
      </c>
      <c r="L64" s="30">
        <f t="shared" si="14"/>
        <v>0</v>
      </c>
      <c r="M64" s="30">
        <f t="shared" si="0"/>
        <v>0</v>
      </c>
      <c r="R64" s="116">
        <v>20</v>
      </c>
    </row>
    <row r="65" spans="3:18">
      <c r="E65" s="129" t="s">
        <v>459</v>
      </c>
      <c r="F65" s="53">
        <v>1.5</v>
      </c>
      <c r="G65" s="29" t="s">
        <v>49</v>
      </c>
      <c r="H65" s="85">
        <f t="shared" si="13"/>
        <v>0.25</v>
      </c>
      <c r="K65" s="13">
        <v>0</v>
      </c>
      <c r="L65" s="30">
        <f t="shared" si="14"/>
        <v>0</v>
      </c>
      <c r="M65" s="30">
        <f t="shared" si="0"/>
        <v>0</v>
      </c>
    </row>
    <row r="66" spans="3:18">
      <c r="C66" s="6" t="s">
        <v>493</v>
      </c>
      <c r="D66" t="s">
        <v>476</v>
      </c>
      <c r="E66" s="129" t="s">
        <v>483</v>
      </c>
      <c r="F66" s="53">
        <v>8</v>
      </c>
      <c r="G66" s="29" t="s">
        <v>49</v>
      </c>
      <c r="H66" s="85">
        <f t="shared" si="13"/>
        <v>1.3333333333333333</v>
      </c>
      <c r="K66" s="13">
        <v>0</v>
      </c>
      <c r="L66" s="30">
        <f t="shared" si="14"/>
        <v>0</v>
      </c>
      <c r="M66" s="30">
        <f t="shared" si="0"/>
        <v>0</v>
      </c>
    </row>
    <row r="67" spans="3:18">
      <c r="E67" s="129" t="s">
        <v>499</v>
      </c>
      <c r="F67" s="53">
        <v>2.5</v>
      </c>
      <c r="G67" s="63" t="s">
        <v>159</v>
      </c>
      <c r="H67" s="85">
        <f t="shared" si="13"/>
        <v>0.41666666666666669</v>
      </c>
      <c r="I67" s="10" t="s">
        <v>508</v>
      </c>
      <c r="J67" s="9">
        <v>3</v>
      </c>
      <c r="K67" s="13">
        <v>6.72</v>
      </c>
      <c r="L67" s="30">
        <f t="shared" si="14"/>
        <v>60.107334525939173</v>
      </c>
      <c r="M67" s="30">
        <f t="shared" ref="M67:M130" si="15">L67*J67</f>
        <v>180.32200357781753</v>
      </c>
    </row>
    <row r="68" spans="3:18">
      <c r="E68" s="129" t="s">
        <v>459</v>
      </c>
      <c r="F68" s="53">
        <v>1</v>
      </c>
      <c r="G68" s="29" t="s">
        <v>49</v>
      </c>
      <c r="H68" s="85">
        <f t="shared" si="13"/>
        <v>0.16666666666666666</v>
      </c>
      <c r="K68" s="13">
        <v>0</v>
      </c>
      <c r="L68" s="30">
        <f t="shared" si="14"/>
        <v>0</v>
      </c>
      <c r="M68" s="30">
        <f t="shared" si="15"/>
        <v>0</v>
      </c>
    </row>
    <row r="69" spans="3:18">
      <c r="E69" s="129" t="s">
        <v>497</v>
      </c>
      <c r="F69" s="53">
        <v>1.5</v>
      </c>
      <c r="G69" s="29" t="s">
        <v>161</v>
      </c>
      <c r="H69" s="85">
        <f t="shared" si="13"/>
        <v>0.25</v>
      </c>
      <c r="K69" s="13">
        <v>0</v>
      </c>
      <c r="L69" s="30">
        <f t="shared" si="14"/>
        <v>0</v>
      </c>
      <c r="M69" s="30">
        <f t="shared" si="15"/>
        <v>0</v>
      </c>
      <c r="Q69" s="121">
        <v>0.75</v>
      </c>
    </row>
    <row r="70" spans="3:18">
      <c r="E70" s="129" t="s">
        <v>500</v>
      </c>
      <c r="F70" s="53">
        <v>2</v>
      </c>
      <c r="G70" s="29" t="s">
        <v>161</v>
      </c>
      <c r="H70" s="85">
        <f t="shared" si="13"/>
        <v>0.33333333333333331</v>
      </c>
      <c r="K70" s="13">
        <v>0</v>
      </c>
      <c r="L70" s="30">
        <f t="shared" si="14"/>
        <v>0</v>
      </c>
      <c r="M70" s="30">
        <f t="shared" si="15"/>
        <v>0</v>
      </c>
    </row>
    <row r="71" spans="3:18">
      <c r="E71" s="129" t="s">
        <v>501</v>
      </c>
      <c r="F71" s="53">
        <v>2</v>
      </c>
      <c r="G71" s="29" t="s">
        <v>161</v>
      </c>
      <c r="H71" s="85">
        <f t="shared" si="13"/>
        <v>0.33333333333333331</v>
      </c>
      <c r="K71" s="13">
        <v>0</v>
      </c>
      <c r="L71" s="30">
        <f t="shared" si="14"/>
        <v>0</v>
      </c>
      <c r="M71" s="30">
        <f t="shared" si="15"/>
        <v>0</v>
      </c>
    </row>
    <row r="72" spans="3:18">
      <c r="E72" s="129" t="s">
        <v>383</v>
      </c>
      <c r="F72" s="53">
        <v>1.5</v>
      </c>
      <c r="G72" s="29" t="s">
        <v>49</v>
      </c>
      <c r="H72" s="85">
        <f t="shared" si="13"/>
        <v>0.25</v>
      </c>
      <c r="K72" s="13">
        <v>1.3</v>
      </c>
      <c r="L72" s="30">
        <f t="shared" si="14"/>
        <v>11.627906976744187</v>
      </c>
      <c r="M72" s="30">
        <f t="shared" si="15"/>
        <v>0</v>
      </c>
    </row>
    <row r="73" spans="3:18">
      <c r="E73" s="129" t="s">
        <v>502</v>
      </c>
      <c r="F73" s="53">
        <v>1.25</v>
      </c>
      <c r="G73" s="29" t="s">
        <v>161</v>
      </c>
      <c r="H73" s="85">
        <f t="shared" si="13"/>
        <v>0.20833333333333334</v>
      </c>
      <c r="K73" s="13">
        <v>0</v>
      </c>
      <c r="L73" s="30">
        <f t="shared" si="14"/>
        <v>0</v>
      </c>
      <c r="M73" s="30">
        <f t="shared" si="15"/>
        <v>0</v>
      </c>
    </row>
    <row r="74" spans="3:18">
      <c r="E74" s="129" t="s">
        <v>503</v>
      </c>
      <c r="F74" s="53">
        <v>1.25</v>
      </c>
      <c r="G74" s="29" t="s">
        <v>161</v>
      </c>
      <c r="H74" s="85">
        <f t="shared" si="13"/>
        <v>0.20833333333333334</v>
      </c>
      <c r="K74" s="13">
        <v>0</v>
      </c>
      <c r="L74" s="30">
        <f t="shared" si="14"/>
        <v>0</v>
      </c>
      <c r="M74" s="30">
        <f t="shared" si="15"/>
        <v>0</v>
      </c>
    </row>
    <row r="75" spans="3:18">
      <c r="E75" s="129" t="s">
        <v>422</v>
      </c>
      <c r="F75" s="53">
        <v>1</v>
      </c>
      <c r="G75" s="29" t="s">
        <v>161</v>
      </c>
      <c r="H75" s="85">
        <f t="shared" si="13"/>
        <v>0.16666666666666666</v>
      </c>
      <c r="K75" s="13">
        <v>0</v>
      </c>
      <c r="L75" s="30">
        <f t="shared" si="14"/>
        <v>0</v>
      </c>
      <c r="M75" s="30">
        <f t="shared" si="15"/>
        <v>0</v>
      </c>
    </row>
    <row r="76" spans="3:18">
      <c r="E76" s="129" t="s">
        <v>504</v>
      </c>
      <c r="F76" s="53">
        <v>1</v>
      </c>
      <c r="G76" s="29" t="s">
        <v>161</v>
      </c>
      <c r="H76" s="85">
        <f t="shared" si="13"/>
        <v>0.16666666666666666</v>
      </c>
      <c r="K76" s="13">
        <v>0</v>
      </c>
      <c r="L76" s="30">
        <f t="shared" si="14"/>
        <v>0</v>
      </c>
      <c r="M76" s="30">
        <f t="shared" si="15"/>
        <v>0</v>
      </c>
    </row>
    <row r="77" spans="3:18">
      <c r="C77" s="6" t="s">
        <v>494</v>
      </c>
      <c r="D77" t="s">
        <v>476</v>
      </c>
      <c r="E77" s="129" t="s">
        <v>505</v>
      </c>
      <c r="F77" s="53">
        <v>3</v>
      </c>
      <c r="G77" s="29" t="s">
        <v>194</v>
      </c>
      <c r="H77" s="85">
        <f t="shared" si="13"/>
        <v>0.5</v>
      </c>
      <c r="K77" s="13">
        <v>0</v>
      </c>
      <c r="L77" s="30">
        <f t="shared" si="14"/>
        <v>0</v>
      </c>
      <c r="M77" s="30">
        <f t="shared" si="15"/>
        <v>0</v>
      </c>
      <c r="R77" s="116">
        <v>15</v>
      </c>
    </row>
    <row r="78" spans="3:18">
      <c r="E78" s="129" t="s">
        <v>506</v>
      </c>
      <c r="F78" s="53">
        <v>2</v>
      </c>
      <c r="G78" s="29" t="s">
        <v>160</v>
      </c>
      <c r="H78" s="85">
        <f t="shared" si="13"/>
        <v>0.33333333333333331</v>
      </c>
      <c r="K78" s="13">
        <v>0</v>
      </c>
      <c r="L78" s="30">
        <f t="shared" si="14"/>
        <v>0</v>
      </c>
      <c r="M78" s="30">
        <f t="shared" si="15"/>
        <v>0</v>
      </c>
    </row>
    <row r="79" spans="3:18">
      <c r="E79" s="129" t="s">
        <v>497</v>
      </c>
      <c r="F79" s="53">
        <v>0.25</v>
      </c>
      <c r="G79" s="29" t="s">
        <v>161</v>
      </c>
      <c r="H79" s="85">
        <f t="shared" si="13"/>
        <v>4.1666666666666664E-2</v>
      </c>
      <c r="K79" s="13">
        <v>0</v>
      </c>
      <c r="L79" s="30">
        <f t="shared" si="14"/>
        <v>0</v>
      </c>
      <c r="M79" s="30">
        <f t="shared" si="15"/>
        <v>0</v>
      </c>
      <c r="Q79" s="121">
        <v>0.75</v>
      </c>
    </row>
    <row r="80" spans="3:18">
      <c r="E80" s="129" t="s">
        <v>507</v>
      </c>
      <c r="F80" s="53">
        <v>30</v>
      </c>
      <c r="G80" s="29" t="s">
        <v>163</v>
      </c>
      <c r="H80" s="85">
        <f t="shared" si="13"/>
        <v>5</v>
      </c>
      <c r="I80" s="10" t="s">
        <v>509</v>
      </c>
      <c r="J80" s="9">
        <v>5</v>
      </c>
      <c r="K80" s="13">
        <v>0.5</v>
      </c>
      <c r="L80" s="30">
        <f t="shared" si="14"/>
        <v>4.4722719141323797</v>
      </c>
      <c r="M80" s="30">
        <f t="shared" si="15"/>
        <v>22.361359570661897</v>
      </c>
    </row>
    <row r="81" spans="1:18" ht="17.25" thickBot="1">
      <c r="A81" s="123"/>
      <c r="B81" s="123"/>
      <c r="C81" s="123"/>
      <c r="D81" s="123"/>
      <c r="E81" s="123"/>
      <c r="F81" s="40"/>
      <c r="G81" s="123"/>
      <c r="H81" s="86">
        <f t="shared" si="13"/>
        <v>0</v>
      </c>
      <c r="I81" s="123"/>
      <c r="J81" s="123"/>
      <c r="K81" s="26">
        <f>SUM(K59:K80)</f>
        <v>11.18</v>
      </c>
      <c r="L81" s="38">
        <f>SUM(L59:L80)</f>
        <v>100</v>
      </c>
      <c r="M81" s="123"/>
      <c r="N81" s="125">
        <f>SUM(M59:M80)</f>
        <v>250.26833631484794</v>
      </c>
      <c r="O81" s="123" t="s">
        <v>143</v>
      </c>
      <c r="P81" s="40" t="s">
        <v>77</v>
      </c>
      <c r="Q81" s="126">
        <f>SUM(Q59:Q80)</f>
        <v>2.25</v>
      </c>
      <c r="R81" s="127">
        <f>SUM(R59:R80)</f>
        <v>35</v>
      </c>
    </row>
    <row r="82" spans="1:18">
      <c r="A82">
        <v>9</v>
      </c>
      <c r="B82" s="7" t="s">
        <v>510</v>
      </c>
      <c r="C82" s="6" t="s">
        <v>511</v>
      </c>
      <c r="D82" s="6" t="s">
        <v>527</v>
      </c>
      <c r="E82" s="129" t="s">
        <v>383</v>
      </c>
      <c r="F82" s="53">
        <v>3.5</v>
      </c>
      <c r="G82" s="29" t="s">
        <v>49</v>
      </c>
      <c r="H82" s="85">
        <f>F82/8</f>
        <v>0.4375</v>
      </c>
      <c r="I82" s="10" t="s">
        <v>523</v>
      </c>
      <c r="J82" s="9">
        <v>2</v>
      </c>
      <c r="K82" s="13">
        <v>7</v>
      </c>
      <c r="L82" s="30">
        <f>K82/15.87*100</f>
        <v>44.108380592312542</v>
      </c>
      <c r="M82" s="30">
        <f t="shared" si="15"/>
        <v>88.216761184625085</v>
      </c>
    </row>
    <row r="83" spans="1:18">
      <c r="E83" s="129" t="s">
        <v>512</v>
      </c>
      <c r="F83" s="53">
        <v>0.25</v>
      </c>
      <c r="G83" s="29" t="s">
        <v>49</v>
      </c>
      <c r="H83" s="85">
        <f t="shared" ref="H83:H97" si="16">F83/8</f>
        <v>3.125E-2</v>
      </c>
      <c r="I83" s="10" t="s">
        <v>523</v>
      </c>
      <c r="J83" s="9">
        <v>2</v>
      </c>
      <c r="K83" s="13">
        <v>5.28</v>
      </c>
      <c r="L83" s="30">
        <f t="shared" ref="L83:L97" si="17">K83/15.87*100</f>
        <v>33.270321361058599</v>
      </c>
      <c r="M83" s="30">
        <f t="shared" si="15"/>
        <v>66.540642722117198</v>
      </c>
    </row>
    <row r="84" spans="1:18">
      <c r="E84" s="129" t="s">
        <v>513</v>
      </c>
      <c r="F84" s="53">
        <v>0.25</v>
      </c>
      <c r="G84" s="29" t="s">
        <v>194</v>
      </c>
      <c r="H84" s="85">
        <f t="shared" si="16"/>
        <v>3.125E-2</v>
      </c>
      <c r="K84" s="13">
        <v>0</v>
      </c>
      <c r="L84" s="30">
        <f t="shared" si="17"/>
        <v>0</v>
      </c>
      <c r="M84" s="30">
        <f t="shared" si="15"/>
        <v>0</v>
      </c>
    </row>
    <row r="85" spans="1:18">
      <c r="E85" s="129" t="s">
        <v>514</v>
      </c>
      <c r="F85" s="53">
        <v>1.5</v>
      </c>
      <c r="G85" s="29" t="s">
        <v>161</v>
      </c>
      <c r="H85" s="85">
        <f t="shared" si="16"/>
        <v>0.1875</v>
      </c>
      <c r="K85" s="13">
        <v>0</v>
      </c>
      <c r="L85" s="30">
        <f t="shared" si="17"/>
        <v>0</v>
      </c>
      <c r="M85" s="30">
        <f t="shared" si="15"/>
        <v>0</v>
      </c>
    </row>
    <row r="86" spans="1:18">
      <c r="E86" s="129" t="s">
        <v>149</v>
      </c>
      <c r="F86" s="53">
        <v>1</v>
      </c>
      <c r="G86" s="29" t="s">
        <v>161</v>
      </c>
      <c r="H86" s="85">
        <f t="shared" si="16"/>
        <v>0.125</v>
      </c>
      <c r="K86" s="13">
        <v>0</v>
      </c>
      <c r="L86" s="30">
        <f t="shared" si="17"/>
        <v>0</v>
      </c>
      <c r="M86" s="30">
        <f t="shared" si="15"/>
        <v>0</v>
      </c>
      <c r="Q86" s="121">
        <v>0.39</v>
      </c>
    </row>
    <row r="87" spans="1:18">
      <c r="E87" s="129" t="s">
        <v>169</v>
      </c>
      <c r="F87" s="53">
        <v>0.3</v>
      </c>
      <c r="G87" s="29" t="s">
        <v>49</v>
      </c>
      <c r="H87" s="85">
        <f t="shared" si="16"/>
        <v>3.7499999999999999E-2</v>
      </c>
      <c r="K87" s="13">
        <v>0</v>
      </c>
      <c r="L87" s="30">
        <f t="shared" si="17"/>
        <v>0</v>
      </c>
      <c r="M87" s="30">
        <f t="shared" si="15"/>
        <v>0</v>
      </c>
      <c r="R87" s="116">
        <v>9.4</v>
      </c>
    </row>
    <row r="88" spans="1:18">
      <c r="E88" s="129" t="s">
        <v>515</v>
      </c>
      <c r="F88" s="53">
        <v>28</v>
      </c>
      <c r="G88" s="29" t="s">
        <v>194</v>
      </c>
      <c r="H88" s="85">
        <f t="shared" si="16"/>
        <v>3.5</v>
      </c>
      <c r="I88" s="10" t="s">
        <v>524</v>
      </c>
      <c r="J88" s="9">
        <v>4</v>
      </c>
      <c r="K88" s="13">
        <v>0.43</v>
      </c>
      <c r="L88" s="30">
        <f t="shared" si="17"/>
        <v>2.7095148078134845</v>
      </c>
      <c r="M88" s="30">
        <f t="shared" si="15"/>
        <v>10.838059231253938</v>
      </c>
    </row>
    <row r="89" spans="1:18">
      <c r="E89" s="129" t="s">
        <v>516</v>
      </c>
      <c r="F89" s="53">
        <v>8</v>
      </c>
      <c r="G89" s="29" t="s">
        <v>194</v>
      </c>
      <c r="H89" s="85">
        <f t="shared" si="16"/>
        <v>1</v>
      </c>
      <c r="I89" s="10" t="s">
        <v>524</v>
      </c>
      <c r="J89" s="9">
        <v>4</v>
      </c>
      <c r="K89" s="13">
        <v>0.125</v>
      </c>
      <c r="L89" s="30">
        <f t="shared" si="17"/>
        <v>0.78764965343415261</v>
      </c>
      <c r="M89" s="30">
        <f t="shared" si="15"/>
        <v>3.1505986137366104</v>
      </c>
    </row>
    <row r="90" spans="1:18">
      <c r="E90" s="129" t="s">
        <v>517</v>
      </c>
      <c r="F90" s="53">
        <v>6</v>
      </c>
      <c r="G90" s="29" t="s">
        <v>194</v>
      </c>
      <c r="H90" s="85">
        <f t="shared" si="16"/>
        <v>0.75</v>
      </c>
      <c r="I90" s="10" t="s">
        <v>524</v>
      </c>
      <c r="J90" s="9">
        <v>4</v>
      </c>
      <c r="K90" s="13">
        <v>9.2999999999999999E-2</v>
      </c>
      <c r="L90" s="30">
        <f t="shared" si="17"/>
        <v>0.5860113421550095</v>
      </c>
      <c r="M90" s="30">
        <f t="shared" si="15"/>
        <v>2.344045368620038</v>
      </c>
    </row>
    <row r="91" spans="1:18">
      <c r="E91" s="129" t="s">
        <v>502</v>
      </c>
      <c r="F91" s="53">
        <v>0.25</v>
      </c>
      <c r="G91" s="29" t="s">
        <v>161</v>
      </c>
      <c r="H91" s="85">
        <f t="shared" si="16"/>
        <v>3.125E-2</v>
      </c>
      <c r="K91" s="13">
        <v>0</v>
      </c>
      <c r="L91" s="30">
        <f t="shared" si="17"/>
        <v>0</v>
      </c>
      <c r="M91" s="30">
        <f t="shared" si="15"/>
        <v>0</v>
      </c>
    </row>
    <row r="92" spans="1:18">
      <c r="E92" s="129" t="s">
        <v>518</v>
      </c>
      <c r="F92" s="53">
        <v>0.25</v>
      </c>
      <c r="G92" s="29" t="s">
        <v>161</v>
      </c>
      <c r="H92" s="85">
        <f t="shared" si="16"/>
        <v>3.125E-2</v>
      </c>
      <c r="K92" s="13">
        <v>0</v>
      </c>
      <c r="L92" s="30">
        <f t="shared" si="17"/>
        <v>0</v>
      </c>
      <c r="M92" s="30">
        <f t="shared" si="15"/>
        <v>0</v>
      </c>
    </row>
    <row r="93" spans="1:18">
      <c r="E93" s="129" t="s">
        <v>519</v>
      </c>
      <c r="F93" s="53">
        <v>0.25</v>
      </c>
      <c r="G93" s="29" t="s">
        <v>161</v>
      </c>
      <c r="H93" s="85">
        <f t="shared" si="16"/>
        <v>3.125E-2</v>
      </c>
      <c r="K93" s="13">
        <v>0</v>
      </c>
      <c r="L93" s="30">
        <f t="shared" si="17"/>
        <v>0</v>
      </c>
      <c r="M93" s="30">
        <f t="shared" si="15"/>
        <v>0</v>
      </c>
    </row>
    <row r="94" spans="1:18">
      <c r="E94" s="129" t="s">
        <v>520</v>
      </c>
      <c r="F94" s="53">
        <v>1</v>
      </c>
      <c r="G94" s="63" t="s">
        <v>159</v>
      </c>
      <c r="H94" s="85">
        <f t="shared" si="16"/>
        <v>0.125</v>
      </c>
      <c r="I94" s="10" t="s">
        <v>114</v>
      </c>
      <c r="J94" s="9">
        <v>1</v>
      </c>
      <c r="K94" s="13">
        <v>2.08</v>
      </c>
      <c r="L94" s="30">
        <f t="shared" si="17"/>
        <v>13.106490233144299</v>
      </c>
      <c r="M94" s="30">
        <f t="shared" si="15"/>
        <v>13.106490233144299</v>
      </c>
    </row>
    <row r="95" spans="1:18">
      <c r="E95" s="129" t="s">
        <v>521</v>
      </c>
      <c r="F95" s="53">
        <v>48</v>
      </c>
      <c r="G95" s="29" t="s">
        <v>163</v>
      </c>
      <c r="H95" s="85">
        <f t="shared" si="16"/>
        <v>6</v>
      </c>
      <c r="I95" s="10" t="s">
        <v>114</v>
      </c>
      <c r="J95" s="9">
        <v>1</v>
      </c>
      <c r="K95" s="13">
        <v>0.5</v>
      </c>
      <c r="L95" s="30">
        <f t="shared" si="17"/>
        <v>3.1505986137366104</v>
      </c>
      <c r="M95" s="30">
        <f t="shared" si="15"/>
        <v>3.1505986137366104</v>
      </c>
    </row>
    <row r="96" spans="1:18">
      <c r="E96" s="129" t="s">
        <v>522</v>
      </c>
      <c r="F96" s="53">
        <v>0.5</v>
      </c>
      <c r="G96" s="63" t="s">
        <v>159</v>
      </c>
      <c r="H96" s="85">
        <f t="shared" si="16"/>
        <v>6.25E-2</v>
      </c>
      <c r="I96" s="10" t="s">
        <v>23</v>
      </c>
      <c r="J96" s="9">
        <v>5</v>
      </c>
      <c r="K96" s="13">
        <v>0.12</v>
      </c>
      <c r="L96" s="30">
        <f t="shared" si="17"/>
        <v>0.75614366729678639</v>
      </c>
      <c r="M96" s="30">
        <f t="shared" si="15"/>
        <v>3.7807183364839321</v>
      </c>
    </row>
    <row r="97" spans="1:18">
      <c r="E97" s="129" t="s">
        <v>172</v>
      </c>
      <c r="F97" s="53">
        <v>0.25</v>
      </c>
      <c r="G97" s="29" t="s">
        <v>49</v>
      </c>
      <c r="H97" s="85">
        <f t="shared" si="16"/>
        <v>3.125E-2</v>
      </c>
      <c r="I97" s="10" t="s">
        <v>525</v>
      </c>
      <c r="J97" s="9">
        <v>2</v>
      </c>
      <c r="K97" s="13">
        <v>0.24</v>
      </c>
      <c r="L97" s="30">
        <f t="shared" si="17"/>
        <v>1.5122873345935728</v>
      </c>
      <c r="M97" s="30">
        <f t="shared" si="15"/>
        <v>3.0245746691871456</v>
      </c>
    </row>
    <row r="98" spans="1:18" ht="17.25" thickBot="1">
      <c r="A98" s="123"/>
      <c r="B98" s="123"/>
      <c r="C98" s="123"/>
      <c r="D98" s="123"/>
      <c r="E98" s="123"/>
      <c r="F98" s="40"/>
      <c r="G98" s="123"/>
      <c r="H98" s="86">
        <f t="shared" si="13"/>
        <v>0</v>
      </c>
      <c r="I98" s="123"/>
      <c r="J98" s="123"/>
      <c r="K98" s="26">
        <f>SUM(K82:K97)</f>
        <v>15.868</v>
      </c>
      <c r="L98" s="125">
        <f>SUM(L82:L97)</f>
        <v>99.987397605545056</v>
      </c>
      <c r="M98" s="123"/>
      <c r="N98" s="125">
        <f>SUM(M82:M97)</f>
        <v>194.15248897290485</v>
      </c>
      <c r="O98" s="123"/>
      <c r="P98" s="40" t="s">
        <v>77</v>
      </c>
      <c r="Q98" s="126">
        <f>SUM(Q82:Q97)</f>
        <v>0.39</v>
      </c>
      <c r="R98" s="127">
        <f>SUM(R82:R97)</f>
        <v>9.4</v>
      </c>
    </row>
    <row r="99" spans="1:18">
      <c r="A99">
        <v>10</v>
      </c>
      <c r="B99" s="7" t="s">
        <v>528</v>
      </c>
      <c r="C99" s="6" t="s">
        <v>526</v>
      </c>
      <c r="D99" s="6" t="s">
        <v>527</v>
      </c>
      <c r="E99" s="129" t="s">
        <v>529</v>
      </c>
      <c r="F99" s="53">
        <v>2</v>
      </c>
      <c r="G99" s="29" t="s">
        <v>163</v>
      </c>
      <c r="H99" s="85">
        <f t="shared" si="13"/>
        <v>0.33333333333333331</v>
      </c>
      <c r="I99" s="10" t="s">
        <v>536</v>
      </c>
      <c r="J99" s="9">
        <v>5</v>
      </c>
      <c r="K99" s="13">
        <v>0.33</v>
      </c>
      <c r="L99" s="30">
        <f>K99/5.5*100</f>
        <v>6.0000000000000009</v>
      </c>
      <c r="M99" s="30">
        <f t="shared" si="15"/>
        <v>30.000000000000004</v>
      </c>
    </row>
    <row r="100" spans="1:18">
      <c r="E100" s="129" t="s">
        <v>530</v>
      </c>
      <c r="F100" s="53">
        <v>6</v>
      </c>
      <c r="G100" s="29" t="s">
        <v>163</v>
      </c>
      <c r="H100" s="85">
        <f t="shared" si="13"/>
        <v>1</v>
      </c>
      <c r="I100" s="10" t="s">
        <v>537</v>
      </c>
      <c r="J100" s="9">
        <v>5</v>
      </c>
      <c r="K100" s="13">
        <v>1.4</v>
      </c>
      <c r="L100" s="30">
        <f t="shared" ref="L100:L106" si="18">K100/5.5*100</f>
        <v>25.454545454545453</v>
      </c>
      <c r="M100" s="30">
        <f t="shared" si="15"/>
        <v>127.27272727272727</v>
      </c>
    </row>
    <row r="101" spans="1:18">
      <c r="E101" s="129" t="s">
        <v>460</v>
      </c>
      <c r="F101" s="53">
        <v>3</v>
      </c>
      <c r="G101" s="29" t="s">
        <v>160</v>
      </c>
      <c r="H101" s="85">
        <f t="shared" si="13"/>
        <v>0.5</v>
      </c>
      <c r="K101" s="13">
        <v>0</v>
      </c>
      <c r="L101" s="30">
        <f t="shared" si="18"/>
        <v>0</v>
      </c>
      <c r="M101" s="30">
        <f t="shared" si="15"/>
        <v>0</v>
      </c>
      <c r="R101" s="116">
        <v>7.5</v>
      </c>
    </row>
    <row r="102" spans="1:18">
      <c r="E102" s="129" t="s">
        <v>531</v>
      </c>
      <c r="F102" s="53">
        <v>6</v>
      </c>
      <c r="G102" s="29" t="s">
        <v>194</v>
      </c>
      <c r="H102" s="85">
        <f t="shared" si="13"/>
        <v>1</v>
      </c>
      <c r="I102" s="10" t="s">
        <v>27</v>
      </c>
      <c r="J102" s="9">
        <v>3</v>
      </c>
      <c r="K102" s="13">
        <v>1</v>
      </c>
      <c r="L102" s="30">
        <f t="shared" si="18"/>
        <v>18.181818181818183</v>
      </c>
      <c r="M102" s="30">
        <f t="shared" si="15"/>
        <v>54.545454545454547</v>
      </c>
    </row>
    <row r="103" spans="1:18">
      <c r="E103" s="129" t="s">
        <v>149</v>
      </c>
      <c r="F103" s="53">
        <v>1</v>
      </c>
      <c r="G103" s="29" t="s">
        <v>161</v>
      </c>
      <c r="H103" s="85">
        <f>F103/6</f>
        <v>0.16666666666666666</v>
      </c>
      <c r="K103" s="13">
        <v>0</v>
      </c>
      <c r="L103" s="30">
        <f t="shared" si="18"/>
        <v>0</v>
      </c>
      <c r="M103" s="30">
        <f t="shared" si="15"/>
        <v>0</v>
      </c>
      <c r="Q103" s="121">
        <v>0.51</v>
      </c>
    </row>
    <row r="104" spans="1:18">
      <c r="E104" s="129" t="s">
        <v>532</v>
      </c>
      <c r="F104" s="53">
        <v>1</v>
      </c>
      <c r="G104" s="29" t="s">
        <v>49</v>
      </c>
      <c r="H104" s="85">
        <f t="shared" si="13"/>
        <v>0.16666666666666666</v>
      </c>
      <c r="K104" s="13">
        <v>0</v>
      </c>
      <c r="L104" s="30">
        <f t="shared" si="18"/>
        <v>0</v>
      </c>
      <c r="M104" s="30">
        <f t="shared" si="15"/>
        <v>0</v>
      </c>
    </row>
    <row r="105" spans="1:18">
      <c r="E105" s="129" t="s">
        <v>533</v>
      </c>
      <c r="F105" s="53">
        <v>6</v>
      </c>
      <c r="G105" s="29" t="s">
        <v>194</v>
      </c>
      <c r="H105" s="85">
        <f t="shared" si="13"/>
        <v>1</v>
      </c>
      <c r="I105" s="10" t="s">
        <v>538</v>
      </c>
      <c r="J105" s="9">
        <v>2</v>
      </c>
      <c r="K105" s="13">
        <v>1.4</v>
      </c>
      <c r="L105" s="30">
        <f t="shared" si="18"/>
        <v>25.454545454545453</v>
      </c>
      <c r="M105" s="30">
        <f t="shared" si="15"/>
        <v>50.909090909090907</v>
      </c>
    </row>
    <row r="106" spans="1:18" ht="33">
      <c r="E106" s="131" t="s">
        <v>534</v>
      </c>
      <c r="F106" s="53">
        <v>8</v>
      </c>
      <c r="G106" s="29" t="s">
        <v>194</v>
      </c>
      <c r="H106" s="85">
        <f t="shared" si="13"/>
        <v>1.3333333333333333</v>
      </c>
      <c r="I106" s="10" t="s">
        <v>525</v>
      </c>
      <c r="J106" s="9">
        <v>2</v>
      </c>
      <c r="K106" s="13">
        <v>1.33</v>
      </c>
      <c r="L106" s="30">
        <f t="shared" si="18"/>
        <v>24.181818181818183</v>
      </c>
      <c r="M106" s="30">
        <f t="shared" si="15"/>
        <v>48.363636363636367</v>
      </c>
    </row>
    <row r="107" spans="1:18">
      <c r="E107" s="131" t="s">
        <v>535</v>
      </c>
      <c r="F107" s="53">
        <v>0.5</v>
      </c>
      <c r="G107" s="29" t="s">
        <v>163</v>
      </c>
      <c r="H107" s="85">
        <f t="shared" si="13"/>
        <v>8.3333333333333329E-2</v>
      </c>
      <c r="I107" s="10" t="s">
        <v>524</v>
      </c>
      <c r="J107" s="9">
        <v>4</v>
      </c>
      <c r="K107" s="13">
        <v>0.04</v>
      </c>
      <c r="L107" s="30">
        <f>K107/5.5*100</f>
        <v>0.72727272727272729</v>
      </c>
      <c r="M107" s="30">
        <f t="shared" si="15"/>
        <v>2.9090909090909092</v>
      </c>
    </row>
    <row r="108" spans="1:18" ht="17.25" thickBot="1">
      <c r="A108" s="123"/>
      <c r="B108" s="123"/>
      <c r="C108" s="123"/>
      <c r="D108" s="123"/>
      <c r="E108" s="123"/>
      <c r="F108" s="40"/>
      <c r="G108" s="123"/>
      <c r="H108" s="86"/>
      <c r="I108" s="123"/>
      <c r="J108" s="123"/>
      <c r="K108" s="26">
        <f>SUM(K99:K107)</f>
        <v>5.5</v>
      </c>
      <c r="L108" s="125">
        <f>SUM(L99:L107)</f>
        <v>100.00000000000001</v>
      </c>
      <c r="M108" s="123"/>
      <c r="N108" s="125">
        <f>SUM(M99:M107)</f>
        <v>314.00000000000006</v>
      </c>
      <c r="O108" s="123"/>
      <c r="P108" s="40" t="s">
        <v>13</v>
      </c>
      <c r="Q108" s="126">
        <f>SUM(Q99:Q107)</f>
        <v>0.51</v>
      </c>
      <c r="R108" s="127">
        <f>SUM(R99:R107)</f>
        <v>7.5</v>
      </c>
    </row>
    <row r="109" spans="1:18">
      <c r="A109">
        <v>11</v>
      </c>
      <c r="B109" s="7" t="s">
        <v>541</v>
      </c>
      <c r="C109" s="6" t="s">
        <v>539</v>
      </c>
      <c r="D109" s="6" t="s">
        <v>540</v>
      </c>
      <c r="E109" s="129" t="s">
        <v>542</v>
      </c>
      <c r="F109" s="53">
        <v>0.5</v>
      </c>
      <c r="G109" s="29" t="s">
        <v>49</v>
      </c>
      <c r="H109" s="85">
        <f>F109/4</f>
        <v>0.125</v>
      </c>
      <c r="K109" s="13">
        <v>0</v>
      </c>
      <c r="L109" s="30">
        <f>K109/4.51*100</f>
        <v>0</v>
      </c>
      <c r="M109" s="30">
        <f t="shared" si="15"/>
        <v>0</v>
      </c>
    </row>
    <row r="110" spans="1:18">
      <c r="E110" s="129" t="s">
        <v>543</v>
      </c>
      <c r="F110" s="53">
        <v>0.5</v>
      </c>
      <c r="G110" s="29" t="s">
        <v>49</v>
      </c>
      <c r="H110" s="85">
        <f t="shared" ref="H110:H119" si="19">F110/4</f>
        <v>0.125</v>
      </c>
      <c r="K110" s="13">
        <v>0</v>
      </c>
      <c r="L110" s="30">
        <f t="shared" ref="L110:L119" si="20">K110/4.51*100</f>
        <v>0</v>
      </c>
      <c r="M110" s="30">
        <f t="shared" si="15"/>
        <v>0</v>
      </c>
    </row>
    <row r="111" spans="1:18">
      <c r="E111" s="129" t="s">
        <v>544</v>
      </c>
      <c r="F111" s="53">
        <v>3</v>
      </c>
      <c r="G111" s="29" t="s">
        <v>160</v>
      </c>
      <c r="H111" s="85">
        <f t="shared" si="19"/>
        <v>0.75</v>
      </c>
      <c r="I111" s="10" t="s">
        <v>15</v>
      </c>
      <c r="J111" s="9">
        <v>2</v>
      </c>
      <c r="K111" s="2">
        <v>0.252</v>
      </c>
      <c r="L111" s="30">
        <f t="shared" si="20"/>
        <v>5.5875831485587586</v>
      </c>
      <c r="M111" s="30">
        <f t="shared" si="15"/>
        <v>11.175166297117517</v>
      </c>
    </row>
    <row r="112" spans="1:18">
      <c r="E112" s="129" t="s">
        <v>545</v>
      </c>
      <c r="F112" s="53">
        <v>1</v>
      </c>
      <c r="G112" s="29" t="s">
        <v>161</v>
      </c>
      <c r="H112" s="85">
        <f t="shared" si="19"/>
        <v>0.25</v>
      </c>
      <c r="K112" s="13">
        <v>0</v>
      </c>
      <c r="L112" s="30">
        <f t="shared" si="20"/>
        <v>0</v>
      </c>
      <c r="M112" s="30">
        <f t="shared" si="15"/>
        <v>0</v>
      </c>
    </row>
    <row r="113" spans="1:18">
      <c r="E113" s="129" t="s">
        <v>546</v>
      </c>
      <c r="F113" s="53">
        <v>0.25</v>
      </c>
      <c r="G113" s="29" t="s">
        <v>161</v>
      </c>
      <c r="H113" s="85">
        <f t="shared" si="19"/>
        <v>6.25E-2</v>
      </c>
      <c r="K113" s="13">
        <v>0</v>
      </c>
      <c r="L113" s="30">
        <f t="shared" si="20"/>
        <v>0</v>
      </c>
      <c r="M113" s="30">
        <f t="shared" si="15"/>
        <v>0</v>
      </c>
    </row>
    <row r="114" spans="1:18">
      <c r="E114" s="129" t="s">
        <v>547</v>
      </c>
      <c r="F114" s="53">
        <v>0.25</v>
      </c>
      <c r="G114" s="29" t="s">
        <v>161</v>
      </c>
      <c r="H114" s="85">
        <f t="shared" si="19"/>
        <v>6.25E-2</v>
      </c>
      <c r="K114" s="13">
        <v>0</v>
      </c>
      <c r="L114" s="30">
        <f t="shared" si="20"/>
        <v>0</v>
      </c>
      <c r="M114" s="30">
        <f t="shared" si="15"/>
        <v>0</v>
      </c>
    </row>
    <row r="115" spans="1:18">
      <c r="E115" s="129" t="s">
        <v>548</v>
      </c>
      <c r="F115" s="53">
        <v>7</v>
      </c>
      <c r="G115" s="29" t="s">
        <v>49</v>
      </c>
      <c r="H115" s="85">
        <f t="shared" si="19"/>
        <v>1.75</v>
      </c>
      <c r="I115" s="10" t="s">
        <v>553</v>
      </c>
      <c r="J115" s="9">
        <v>5</v>
      </c>
      <c r="K115" s="2">
        <v>2</v>
      </c>
      <c r="L115" s="30">
        <f t="shared" si="20"/>
        <v>44.345898004434595</v>
      </c>
      <c r="M115" s="30">
        <f t="shared" si="15"/>
        <v>221.72949002217297</v>
      </c>
    </row>
    <row r="116" spans="1:18">
      <c r="E116" s="129" t="s">
        <v>549</v>
      </c>
      <c r="F116" s="53">
        <v>1</v>
      </c>
      <c r="G116" s="29" t="s">
        <v>160</v>
      </c>
      <c r="H116" s="85">
        <f t="shared" si="19"/>
        <v>0.25</v>
      </c>
      <c r="I116" s="10" t="s">
        <v>18</v>
      </c>
      <c r="J116" s="9">
        <v>5</v>
      </c>
      <c r="K116" s="13">
        <v>8.0000000000000004E-4</v>
      </c>
      <c r="L116" s="30">
        <f t="shared" si="20"/>
        <v>1.7738359201773839E-2</v>
      </c>
      <c r="M116" s="30">
        <f t="shared" si="15"/>
        <v>8.86917960088692E-2</v>
      </c>
    </row>
    <row r="117" spans="1:18">
      <c r="E117" s="129" t="s">
        <v>550</v>
      </c>
      <c r="F117" s="53">
        <v>1</v>
      </c>
      <c r="G117" s="29" t="s">
        <v>163</v>
      </c>
      <c r="H117" s="85">
        <f t="shared" si="19"/>
        <v>0.25</v>
      </c>
      <c r="I117" s="10" t="s">
        <v>15</v>
      </c>
      <c r="J117" s="9">
        <v>2</v>
      </c>
      <c r="K117" s="2">
        <v>2</v>
      </c>
      <c r="L117" s="30">
        <f t="shared" si="20"/>
        <v>44.345898004434595</v>
      </c>
      <c r="M117" s="30">
        <f t="shared" si="15"/>
        <v>88.69179600886919</v>
      </c>
    </row>
    <row r="118" spans="1:18">
      <c r="E118" s="129" t="s">
        <v>551</v>
      </c>
      <c r="F118" s="53">
        <v>1</v>
      </c>
      <c r="G118" s="29" t="s">
        <v>160</v>
      </c>
      <c r="H118" s="85">
        <f t="shared" si="19"/>
        <v>0.25</v>
      </c>
      <c r="K118" s="2">
        <v>0</v>
      </c>
      <c r="L118" s="30">
        <f t="shared" si="20"/>
        <v>0</v>
      </c>
      <c r="M118" s="30">
        <f t="shared" si="15"/>
        <v>0</v>
      </c>
      <c r="R118" s="116">
        <v>1.95</v>
      </c>
    </row>
    <row r="119" spans="1:18">
      <c r="E119" s="129" t="s">
        <v>552</v>
      </c>
      <c r="F119" s="53">
        <v>1</v>
      </c>
      <c r="G119" s="29" t="s">
        <v>163</v>
      </c>
      <c r="H119" s="85">
        <f t="shared" si="19"/>
        <v>0.25</v>
      </c>
      <c r="I119" s="10" t="s">
        <v>30</v>
      </c>
      <c r="J119" s="9">
        <v>2</v>
      </c>
      <c r="K119" s="2">
        <v>0.26</v>
      </c>
      <c r="L119" s="30">
        <f t="shared" si="20"/>
        <v>5.7649667405764973</v>
      </c>
      <c r="M119" s="30">
        <f t="shared" si="15"/>
        <v>11.529933481152995</v>
      </c>
    </row>
    <row r="120" spans="1:18" ht="17.25" thickBot="1">
      <c r="A120" s="123"/>
      <c r="B120" s="123"/>
      <c r="C120" s="123"/>
      <c r="D120" s="123"/>
      <c r="E120" s="123"/>
      <c r="F120" s="40"/>
      <c r="G120" s="123"/>
      <c r="H120" s="124"/>
      <c r="I120" s="123"/>
      <c r="J120" s="123"/>
      <c r="K120" s="26">
        <f>SUM(K109:K119)</f>
        <v>4.5127999999999995</v>
      </c>
      <c r="L120" s="125">
        <f>SUM(L109:L119)</f>
        <v>100.06208425720622</v>
      </c>
      <c r="M120" s="123"/>
      <c r="N120" s="125">
        <f>SUM(M109:M119)</f>
        <v>333.21507760532154</v>
      </c>
      <c r="O120" s="123"/>
      <c r="P120" s="40" t="s">
        <v>554</v>
      </c>
      <c r="Q120" s="126"/>
      <c r="R120" s="127"/>
    </row>
    <row r="121" spans="1:18">
      <c r="A121">
        <v>12</v>
      </c>
      <c r="B121" s="7" t="s">
        <v>556</v>
      </c>
      <c r="C121" s="6" t="s">
        <v>555</v>
      </c>
      <c r="D121" s="6" t="s">
        <v>439</v>
      </c>
      <c r="E121" s="129" t="s">
        <v>544</v>
      </c>
      <c r="F121" s="53">
        <v>2</v>
      </c>
      <c r="G121" s="29" t="s">
        <v>49</v>
      </c>
      <c r="H121" s="85">
        <f>F121/12</f>
        <v>0.16666666666666666</v>
      </c>
      <c r="I121" s="10" t="s">
        <v>15</v>
      </c>
      <c r="J121" s="9">
        <v>2</v>
      </c>
      <c r="K121" s="2">
        <v>5.6000000000000001E-2</v>
      </c>
      <c r="L121" s="30">
        <f>K121/0.536*100</f>
        <v>10.44776119402985</v>
      </c>
      <c r="M121" s="30">
        <f t="shared" si="15"/>
        <v>20.8955223880597</v>
      </c>
    </row>
    <row r="122" spans="1:18">
      <c r="E122" s="129" t="s">
        <v>568</v>
      </c>
      <c r="F122" s="53">
        <v>0.33</v>
      </c>
      <c r="G122" s="29" t="s">
        <v>49</v>
      </c>
      <c r="H122" s="85">
        <f t="shared" ref="H122:H131" si="21">F122/12</f>
        <v>2.75E-2</v>
      </c>
      <c r="K122" s="2">
        <v>0</v>
      </c>
      <c r="L122" s="30">
        <f t="shared" ref="L122:L131" si="22">K122/0.536*100</f>
        <v>0</v>
      </c>
      <c r="M122" s="30">
        <f t="shared" si="15"/>
        <v>0</v>
      </c>
    </row>
    <row r="123" spans="1:18">
      <c r="E123" s="129" t="s">
        <v>542</v>
      </c>
      <c r="F123" s="53">
        <v>0.33</v>
      </c>
      <c r="G123" s="29" t="s">
        <v>49</v>
      </c>
      <c r="H123" s="85">
        <f t="shared" si="21"/>
        <v>2.75E-2</v>
      </c>
      <c r="K123" s="2">
        <v>0</v>
      </c>
      <c r="L123" s="30">
        <f t="shared" si="22"/>
        <v>0</v>
      </c>
      <c r="M123" s="30">
        <f t="shared" si="15"/>
        <v>0</v>
      </c>
    </row>
    <row r="124" spans="1:18">
      <c r="E124" s="129" t="s">
        <v>557</v>
      </c>
      <c r="F124" s="53">
        <v>2</v>
      </c>
      <c r="G124" s="29" t="s">
        <v>161</v>
      </c>
      <c r="H124" s="85">
        <f t="shared" si="21"/>
        <v>0.16666666666666666</v>
      </c>
      <c r="K124" s="2">
        <v>0</v>
      </c>
      <c r="L124" s="30">
        <f t="shared" si="22"/>
        <v>0</v>
      </c>
      <c r="M124" s="30">
        <f t="shared" si="15"/>
        <v>0</v>
      </c>
    </row>
    <row r="125" spans="1:18">
      <c r="E125" s="129" t="s">
        <v>558</v>
      </c>
      <c r="F125" s="53">
        <v>0.5</v>
      </c>
      <c r="G125" s="29" t="s">
        <v>161</v>
      </c>
      <c r="H125" s="85">
        <f t="shared" si="21"/>
        <v>4.1666666666666664E-2</v>
      </c>
      <c r="K125" s="2">
        <v>0</v>
      </c>
      <c r="L125" s="30">
        <f t="shared" si="22"/>
        <v>0</v>
      </c>
      <c r="M125" s="30">
        <f t="shared" si="15"/>
        <v>0</v>
      </c>
      <c r="Q125" s="121">
        <v>0.12</v>
      </c>
    </row>
    <row r="126" spans="1:18">
      <c r="E126" s="129" t="s">
        <v>559</v>
      </c>
      <c r="F126" s="53">
        <v>0.66</v>
      </c>
      <c r="G126" s="29" t="s">
        <v>49</v>
      </c>
      <c r="H126" s="85">
        <f t="shared" si="21"/>
        <v>5.5E-2</v>
      </c>
      <c r="I126" s="10" t="s">
        <v>566</v>
      </c>
      <c r="J126" s="9">
        <v>3</v>
      </c>
      <c r="K126" s="2">
        <v>0.06</v>
      </c>
      <c r="L126" s="30">
        <f t="shared" si="22"/>
        <v>11.194029850746269</v>
      </c>
      <c r="M126" s="30">
        <f t="shared" si="15"/>
        <v>33.582089552238806</v>
      </c>
    </row>
    <row r="127" spans="1:18">
      <c r="E127" s="129" t="s">
        <v>560</v>
      </c>
      <c r="F127" s="53">
        <v>0.5</v>
      </c>
      <c r="G127" s="29" t="s">
        <v>49</v>
      </c>
      <c r="H127" s="85">
        <f t="shared" si="21"/>
        <v>4.1666666666666664E-2</v>
      </c>
      <c r="K127" s="2">
        <v>0</v>
      </c>
      <c r="L127" s="30">
        <f t="shared" si="22"/>
        <v>0</v>
      </c>
      <c r="M127" s="30">
        <f t="shared" si="15"/>
        <v>0</v>
      </c>
      <c r="R127" s="116">
        <v>9.6</v>
      </c>
    </row>
    <row r="128" spans="1:18">
      <c r="E128" s="129" t="s">
        <v>561</v>
      </c>
      <c r="F128" s="53">
        <v>2</v>
      </c>
      <c r="G128" s="29" t="s">
        <v>163</v>
      </c>
      <c r="H128" s="85">
        <f t="shared" si="21"/>
        <v>0.16666666666666666</v>
      </c>
      <c r="I128" s="10" t="s">
        <v>30</v>
      </c>
      <c r="J128" s="9">
        <v>2</v>
      </c>
      <c r="K128" s="2">
        <v>0.17</v>
      </c>
      <c r="L128" s="30">
        <f t="shared" si="22"/>
        <v>31.716417910447763</v>
      </c>
      <c r="M128" s="30">
        <f t="shared" si="15"/>
        <v>63.432835820895527</v>
      </c>
    </row>
    <row r="129" spans="1:18">
      <c r="E129" s="129" t="s">
        <v>562</v>
      </c>
      <c r="F129" s="53">
        <v>1</v>
      </c>
      <c r="G129" s="29" t="s">
        <v>161</v>
      </c>
      <c r="H129" s="85">
        <f t="shared" si="21"/>
        <v>8.3333333333333329E-2</v>
      </c>
      <c r="K129" s="2">
        <v>0</v>
      </c>
      <c r="L129" s="30">
        <f t="shared" si="22"/>
        <v>0</v>
      </c>
      <c r="M129" s="30">
        <f t="shared" si="15"/>
        <v>0</v>
      </c>
    </row>
    <row r="130" spans="1:18">
      <c r="E130" s="129" t="s">
        <v>563</v>
      </c>
      <c r="F130" s="53">
        <v>12</v>
      </c>
      <c r="G130" s="29" t="s">
        <v>564</v>
      </c>
      <c r="H130" s="85">
        <f t="shared" si="21"/>
        <v>1</v>
      </c>
      <c r="K130" s="2">
        <v>0</v>
      </c>
      <c r="L130" s="30">
        <f t="shared" si="22"/>
        <v>0</v>
      </c>
      <c r="M130" s="30">
        <f t="shared" si="15"/>
        <v>0</v>
      </c>
    </row>
    <row r="131" spans="1:18">
      <c r="E131" s="129" t="s">
        <v>565</v>
      </c>
      <c r="F131" s="53">
        <v>0.5</v>
      </c>
      <c r="G131" s="29" t="s">
        <v>49</v>
      </c>
      <c r="H131" s="85">
        <f t="shared" si="21"/>
        <v>4.1666666666666664E-2</v>
      </c>
      <c r="I131" s="10" t="s">
        <v>567</v>
      </c>
      <c r="J131" s="9">
        <v>2</v>
      </c>
      <c r="K131" s="2">
        <v>0.25</v>
      </c>
      <c r="L131" s="30">
        <f t="shared" si="22"/>
        <v>46.641791044776113</v>
      </c>
      <c r="M131" s="30">
        <f t="shared" ref="M131" si="23">L131*J131</f>
        <v>93.283582089552226</v>
      </c>
    </row>
    <row r="132" spans="1:18" ht="17.25" thickBot="1">
      <c r="A132" s="123"/>
      <c r="B132" s="123"/>
      <c r="C132" s="123"/>
      <c r="D132" s="123"/>
      <c r="E132" s="123"/>
      <c r="F132" s="40"/>
      <c r="G132" s="123"/>
      <c r="H132" s="124"/>
      <c r="I132" s="123"/>
      <c r="J132" s="123"/>
      <c r="K132" s="97">
        <f>SUM(K121:K131)</f>
        <v>0.53600000000000003</v>
      </c>
      <c r="L132" s="125">
        <f>SUM(L121:L131)</f>
        <v>100</v>
      </c>
      <c r="M132" s="123"/>
      <c r="N132" s="125">
        <f>SUM(M121:M131)</f>
        <v>211.19402985074626</v>
      </c>
      <c r="O132" s="123"/>
      <c r="P132" s="40" t="s">
        <v>569</v>
      </c>
      <c r="Q132" s="126">
        <f>SUM(Q121:Q131)</f>
        <v>0.12</v>
      </c>
      <c r="R132" s="127">
        <f>SUM(R121:R131)</f>
        <v>9.6</v>
      </c>
    </row>
    <row r="133" spans="1:18">
      <c r="A133">
        <v>13</v>
      </c>
      <c r="B133" s="7" t="s">
        <v>571</v>
      </c>
      <c r="C133" s="6" t="s">
        <v>570</v>
      </c>
      <c r="D133" s="6" t="s">
        <v>540</v>
      </c>
      <c r="E133" s="129" t="s">
        <v>572</v>
      </c>
      <c r="F133" s="53">
        <v>8</v>
      </c>
      <c r="G133" s="29" t="s">
        <v>564</v>
      </c>
      <c r="H133" s="85">
        <f>F133/4</f>
        <v>2</v>
      </c>
      <c r="I133" s="10" t="s">
        <v>15</v>
      </c>
      <c r="J133" s="9">
        <v>2</v>
      </c>
      <c r="K133" s="2">
        <v>3</v>
      </c>
      <c r="L133" s="30">
        <f>K133/9*100</f>
        <v>33.333333333333329</v>
      </c>
      <c r="M133" s="30">
        <f t="shared" ref="M133:M198" si="24">L133*J133</f>
        <v>66.666666666666657</v>
      </c>
    </row>
    <row r="134" spans="1:18">
      <c r="E134" s="129" t="s">
        <v>573</v>
      </c>
      <c r="F134" s="53">
        <v>1</v>
      </c>
      <c r="G134" s="29" t="s">
        <v>574</v>
      </c>
      <c r="H134" s="85">
        <f t="shared" ref="H134:H138" si="25">F134/4</f>
        <v>0.25</v>
      </c>
      <c r="I134" s="10" t="s">
        <v>27</v>
      </c>
      <c r="J134" s="9">
        <v>3</v>
      </c>
      <c r="K134" s="2">
        <v>4</v>
      </c>
      <c r="L134" s="30">
        <f t="shared" ref="L134:L138" si="26">K134/9*100</f>
        <v>44.444444444444443</v>
      </c>
      <c r="M134" s="30">
        <f t="shared" si="24"/>
        <v>133.33333333333331</v>
      </c>
    </row>
    <row r="135" spans="1:18">
      <c r="E135" s="129" t="s">
        <v>551</v>
      </c>
      <c r="F135" s="53">
        <v>1</v>
      </c>
      <c r="G135" s="29" t="s">
        <v>160</v>
      </c>
      <c r="H135" s="85">
        <f t="shared" si="25"/>
        <v>0.25</v>
      </c>
      <c r="K135" s="2">
        <v>0</v>
      </c>
      <c r="L135" s="30">
        <f t="shared" si="26"/>
        <v>0</v>
      </c>
      <c r="M135" s="30">
        <f t="shared" si="24"/>
        <v>0</v>
      </c>
      <c r="R135" s="116">
        <v>3.75</v>
      </c>
    </row>
    <row r="136" spans="1:18">
      <c r="E136" s="129" t="s">
        <v>558</v>
      </c>
      <c r="G136" s="29" t="s">
        <v>581</v>
      </c>
      <c r="H136" s="85">
        <v>2.19</v>
      </c>
      <c r="K136" s="2">
        <v>0</v>
      </c>
      <c r="L136" s="30">
        <f t="shared" si="26"/>
        <v>0</v>
      </c>
      <c r="M136" s="30">
        <f t="shared" ref="M136" si="27">L136*J136</f>
        <v>0</v>
      </c>
      <c r="Q136" s="121">
        <v>2.19</v>
      </c>
    </row>
    <row r="137" spans="1:18">
      <c r="E137" s="129" t="s">
        <v>575</v>
      </c>
      <c r="F137" s="53">
        <v>0.5</v>
      </c>
      <c r="G137" s="29" t="s">
        <v>49</v>
      </c>
      <c r="H137" s="85">
        <f t="shared" si="25"/>
        <v>0.125</v>
      </c>
      <c r="I137" s="10" t="s">
        <v>577</v>
      </c>
      <c r="J137" s="9">
        <v>2</v>
      </c>
      <c r="K137" s="2">
        <v>1</v>
      </c>
      <c r="L137" s="30">
        <f t="shared" si="26"/>
        <v>11.111111111111111</v>
      </c>
      <c r="M137" s="30">
        <f t="shared" si="24"/>
        <v>22.222222222222221</v>
      </c>
    </row>
    <row r="138" spans="1:18">
      <c r="E138" s="129" t="s">
        <v>576</v>
      </c>
      <c r="F138" s="53">
        <v>0.5</v>
      </c>
      <c r="G138" s="29" t="s">
        <v>49</v>
      </c>
      <c r="H138" s="85">
        <f t="shared" si="25"/>
        <v>0.125</v>
      </c>
      <c r="I138" s="10" t="s">
        <v>578</v>
      </c>
      <c r="J138" s="9">
        <v>1</v>
      </c>
      <c r="K138" s="2">
        <v>1</v>
      </c>
      <c r="L138" s="30">
        <f t="shared" si="26"/>
        <v>11.111111111111111</v>
      </c>
      <c r="M138" s="30">
        <f t="shared" si="24"/>
        <v>11.111111111111111</v>
      </c>
    </row>
    <row r="139" spans="1:18" ht="17.25" thickBot="1">
      <c r="A139" s="123"/>
      <c r="B139" s="123"/>
      <c r="C139" s="123"/>
      <c r="D139" s="123"/>
      <c r="E139" s="123"/>
      <c r="F139" s="40"/>
      <c r="G139" s="123"/>
      <c r="H139" s="86"/>
      <c r="I139" s="123"/>
      <c r="J139" s="123"/>
      <c r="K139" s="97">
        <f>SUM(K133:K138)</f>
        <v>9</v>
      </c>
      <c r="L139" s="125">
        <f>SUM(L133:L138)</f>
        <v>100</v>
      </c>
      <c r="M139" s="123"/>
      <c r="N139" s="125">
        <f>SUM(M133:M138)</f>
        <v>233.33333333333331</v>
      </c>
      <c r="O139" s="123" t="s">
        <v>580</v>
      </c>
      <c r="P139" s="40" t="s">
        <v>579</v>
      </c>
      <c r="Q139" s="126">
        <v>2.19</v>
      </c>
      <c r="R139" s="127">
        <f>SUM(R133:R138)</f>
        <v>3.75</v>
      </c>
    </row>
    <row r="140" spans="1:18">
      <c r="A140">
        <v>14</v>
      </c>
      <c r="B140" s="7" t="s">
        <v>583</v>
      </c>
      <c r="C140" s="6" t="s">
        <v>582</v>
      </c>
      <c r="D140" s="6" t="s">
        <v>540</v>
      </c>
      <c r="E140" s="129" t="s">
        <v>584</v>
      </c>
      <c r="F140" s="53">
        <v>3</v>
      </c>
      <c r="G140" s="29" t="s">
        <v>574</v>
      </c>
      <c r="H140" s="85">
        <f>F140/8</f>
        <v>0.375</v>
      </c>
      <c r="I140" s="10" t="s">
        <v>599</v>
      </c>
      <c r="J140" s="9">
        <v>2</v>
      </c>
      <c r="K140" s="2">
        <v>2</v>
      </c>
      <c r="L140" s="30">
        <f>K140/7.93*100</f>
        <v>25.220680958385877</v>
      </c>
      <c r="M140" s="30">
        <f t="shared" si="24"/>
        <v>50.441361916771754</v>
      </c>
    </row>
    <row r="141" spans="1:18">
      <c r="E141" s="129" t="s">
        <v>585</v>
      </c>
      <c r="F141" s="53">
        <v>1.5</v>
      </c>
      <c r="G141" s="29" t="s">
        <v>49</v>
      </c>
      <c r="H141" s="85">
        <f t="shared" ref="H141:H156" si="28">F141/8</f>
        <v>0.1875</v>
      </c>
      <c r="J141" s="9">
        <v>0</v>
      </c>
      <c r="K141" s="2">
        <v>0</v>
      </c>
      <c r="L141" s="30">
        <f t="shared" ref="L141:L156" si="29">K141/7.93*100</f>
        <v>0</v>
      </c>
      <c r="M141" s="30">
        <f t="shared" si="24"/>
        <v>0</v>
      </c>
    </row>
    <row r="142" spans="1:18">
      <c r="E142" s="129" t="s">
        <v>586</v>
      </c>
      <c r="F142" s="53">
        <v>3</v>
      </c>
      <c r="G142" s="29" t="s">
        <v>163</v>
      </c>
      <c r="H142" s="85">
        <f t="shared" si="28"/>
        <v>0.375</v>
      </c>
      <c r="I142" s="10" t="s">
        <v>15</v>
      </c>
      <c r="J142" s="9">
        <v>2</v>
      </c>
      <c r="K142" s="2">
        <v>0.38</v>
      </c>
      <c r="L142" s="30">
        <f t="shared" si="29"/>
        <v>4.7919293820933166</v>
      </c>
      <c r="M142" s="30">
        <f t="shared" si="24"/>
        <v>9.5838587641866333</v>
      </c>
    </row>
    <row r="143" spans="1:18">
      <c r="E143" s="129" t="s">
        <v>587</v>
      </c>
      <c r="F143" s="53">
        <v>6</v>
      </c>
      <c r="G143" s="29" t="s">
        <v>564</v>
      </c>
      <c r="H143" s="85">
        <f t="shared" si="28"/>
        <v>0.75</v>
      </c>
      <c r="I143" s="10" t="s">
        <v>600</v>
      </c>
      <c r="J143" s="9">
        <v>5</v>
      </c>
      <c r="K143" s="2">
        <v>0.1</v>
      </c>
      <c r="L143" s="30">
        <f t="shared" si="29"/>
        <v>1.2610340479192941</v>
      </c>
      <c r="M143" s="30">
        <f t="shared" si="24"/>
        <v>6.3051702395964702</v>
      </c>
    </row>
    <row r="144" spans="1:18">
      <c r="E144" s="129" t="s">
        <v>588</v>
      </c>
      <c r="F144" s="53">
        <v>1</v>
      </c>
      <c r="G144" s="29" t="s">
        <v>163</v>
      </c>
      <c r="H144" s="85">
        <f t="shared" si="28"/>
        <v>0.125</v>
      </c>
      <c r="I144" s="10" t="s">
        <v>14</v>
      </c>
      <c r="J144" s="9">
        <v>5</v>
      </c>
      <c r="K144" s="2">
        <v>0.17</v>
      </c>
      <c r="L144" s="30">
        <f t="shared" si="29"/>
        <v>2.1437578814627996</v>
      </c>
      <c r="M144" s="30">
        <f t="shared" si="24"/>
        <v>10.718789407313999</v>
      </c>
    </row>
    <row r="145" spans="1:18">
      <c r="E145" s="129" t="s">
        <v>589</v>
      </c>
      <c r="F145" s="53">
        <v>1</v>
      </c>
      <c r="G145" s="29" t="s">
        <v>163</v>
      </c>
      <c r="H145" s="85">
        <f t="shared" si="28"/>
        <v>0.125</v>
      </c>
      <c r="I145" s="10" t="s">
        <v>601</v>
      </c>
      <c r="J145" s="9">
        <v>4</v>
      </c>
      <c r="K145" s="2">
        <v>0.3</v>
      </c>
      <c r="L145" s="30">
        <f t="shared" si="29"/>
        <v>3.7831021437578811</v>
      </c>
      <c r="M145" s="30">
        <f t="shared" si="24"/>
        <v>15.132408575031524</v>
      </c>
    </row>
    <row r="146" spans="1:18">
      <c r="E146" s="129" t="s">
        <v>590</v>
      </c>
      <c r="F146" s="53">
        <v>1</v>
      </c>
      <c r="G146" s="29" t="s">
        <v>163</v>
      </c>
      <c r="H146" s="85">
        <f t="shared" si="28"/>
        <v>0.125</v>
      </c>
      <c r="I146" s="10" t="s">
        <v>56</v>
      </c>
      <c r="J146" s="9">
        <v>5</v>
      </c>
      <c r="K146" s="2">
        <v>0.2</v>
      </c>
      <c r="L146" s="30">
        <f t="shared" si="29"/>
        <v>2.5220680958385882</v>
      </c>
      <c r="M146" s="30">
        <f t="shared" si="24"/>
        <v>12.61034047919294</v>
      </c>
    </row>
    <row r="147" spans="1:18">
      <c r="E147" s="129" t="s">
        <v>591</v>
      </c>
      <c r="F147" s="53">
        <v>3</v>
      </c>
      <c r="G147" s="29" t="s">
        <v>163</v>
      </c>
      <c r="H147" s="85">
        <f t="shared" si="28"/>
        <v>0.375</v>
      </c>
      <c r="I147" s="10" t="s">
        <v>602</v>
      </c>
      <c r="J147" s="9">
        <v>5</v>
      </c>
      <c r="K147" s="2">
        <v>0.38</v>
      </c>
      <c r="L147" s="30">
        <f t="shared" si="29"/>
        <v>4.7919293820933166</v>
      </c>
      <c r="M147" s="30">
        <f t="shared" si="24"/>
        <v>23.959646910466581</v>
      </c>
    </row>
    <row r="148" spans="1:18">
      <c r="E148" s="129" t="s">
        <v>592</v>
      </c>
      <c r="F148" s="53">
        <v>2</v>
      </c>
      <c r="G148" s="29" t="s">
        <v>163</v>
      </c>
      <c r="H148" s="85">
        <f t="shared" si="28"/>
        <v>0.25</v>
      </c>
      <c r="I148" s="10" t="s">
        <v>30</v>
      </c>
      <c r="J148" s="9">
        <v>2</v>
      </c>
      <c r="K148" s="2">
        <v>0.25</v>
      </c>
      <c r="L148" s="30">
        <f t="shared" si="29"/>
        <v>3.1525851197982346</v>
      </c>
      <c r="M148" s="30">
        <f t="shared" si="24"/>
        <v>6.3051702395964693</v>
      </c>
    </row>
    <row r="149" spans="1:18">
      <c r="E149" s="129" t="s">
        <v>593</v>
      </c>
      <c r="F149" s="53">
        <v>1.25</v>
      </c>
      <c r="G149" s="29" t="s">
        <v>574</v>
      </c>
      <c r="H149" s="85">
        <f t="shared" si="28"/>
        <v>0.15625</v>
      </c>
      <c r="I149" s="10" t="s">
        <v>603</v>
      </c>
      <c r="J149" s="9">
        <v>1</v>
      </c>
      <c r="K149" s="2">
        <v>2.56</v>
      </c>
      <c r="L149" s="30">
        <f t="shared" si="29"/>
        <v>32.282471626733923</v>
      </c>
      <c r="M149" s="30">
        <f t="shared" si="24"/>
        <v>32.282471626733923</v>
      </c>
    </row>
    <row r="150" spans="1:18">
      <c r="E150" s="129" t="s">
        <v>594</v>
      </c>
      <c r="F150" s="53">
        <v>0.75</v>
      </c>
      <c r="G150" s="29" t="s">
        <v>574</v>
      </c>
      <c r="H150" s="85">
        <f t="shared" si="28"/>
        <v>9.375E-2</v>
      </c>
      <c r="I150" s="10" t="s">
        <v>604</v>
      </c>
      <c r="J150" s="9">
        <v>1</v>
      </c>
      <c r="K150" s="2">
        <v>1.44</v>
      </c>
      <c r="L150" s="30">
        <f t="shared" si="29"/>
        <v>18.158890290037828</v>
      </c>
      <c r="M150" s="30">
        <f t="shared" si="24"/>
        <v>18.158890290037828</v>
      </c>
    </row>
    <row r="151" spans="1:18">
      <c r="E151" s="129" t="s">
        <v>595</v>
      </c>
      <c r="F151" s="53">
        <v>2</v>
      </c>
      <c r="G151" s="29" t="s">
        <v>160</v>
      </c>
      <c r="H151" s="85">
        <f t="shared" si="28"/>
        <v>0.25</v>
      </c>
      <c r="J151" s="9">
        <v>0</v>
      </c>
      <c r="K151" s="2">
        <v>0</v>
      </c>
      <c r="L151" s="30">
        <f t="shared" si="29"/>
        <v>0</v>
      </c>
      <c r="M151" s="30">
        <f t="shared" si="24"/>
        <v>0</v>
      </c>
    </row>
    <row r="152" spans="1:18">
      <c r="E152" s="129" t="s">
        <v>558</v>
      </c>
      <c r="F152" s="53">
        <v>2</v>
      </c>
      <c r="G152" s="29" t="s">
        <v>161</v>
      </c>
      <c r="H152" s="85">
        <f t="shared" si="28"/>
        <v>0.25</v>
      </c>
      <c r="J152" s="9">
        <v>0</v>
      </c>
      <c r="K152" s="2">
        <v>0</v>
      </c>
      <c r="L152" s="30">
        <f t="shared" si="29"/>
        <v>0</v>
      </c>
      <c r="M152" s="30">
        <f t="shared" si="24"/>
        <v>0</v>
      </c>
      <c r="Q152" s="121">
        <v>0.75</v>
      </c>
    </row>
    <row r="153" spans="1:18">
      <c r="E153" s="129" t="s">
        <v>596</v>
      </c>
      <c r="F153" s="53">
        <v>0.5</v>
      </c>
      <c r="G153" s="29" t="s">
        <v>49</v>
      </c>
      <c r="H153" s="85">
        <f t="shared" si="28"/>
        <v>6.25E-2</v>
      </c>
      <c r="I153" s="10" t="s">
        <v>601</v>
      </c>
      <c r="J153" s="9">
        <v>4</v>
      </c>
      <c r="K153" s="2">
        <v>0.12</v>
      </c>
      <c r="L153" s="30">
        <f t="shared" si="29"/>
        <v>1.5132408575031526</v>
      </c>
      <c r="M153" s="30">
        <f t="shared" si="24"/>
        <v>6.0529634300126105</v>
      </c>
    </row>
    <row r="154" spans="1:18">
      <c r="E154" s="129" t="s">
        <v>597</v>
      </c>
      <c r="F154" s="53">
        <v>2</v>
      </c>
      <c r="G154" s="29" t="s">
        <v>160</v>
      </c>
      <c r="H154" s="85">
        <f t="shared" si="28"/>
        <v>0.25</v>
      </c>
      <c r="I154" s="10" t="s">
        <v>601</v>
      </c>
      <c r="J154" s="9">
        <v>4</v>
      </c>
      <c r="K154" s="2">
        <v>0.03</v>
      </c>
      <c r="L154" s="30">
        <f t="shared" si="29"/>
        <v>0.37831021437578816</v>
      </c>
      <c r="M154" s="30">
        <f t="shared" si="24"/>
        <v>1.5132408575031526</v>
      </c>
    </row>
    <row r="155" spans="1:18">
      <c r="E155" s="129" t="s">
        <v>598</v>
      </c>
      <c r="F155" s="53">
        <v>2</v>
      </c>
      <c r="G155" s="29" t="s">
        <v>160</v>
      </c>
      <c r="H155" s="85">
        <f t="shared" si="28"/>
        <v>0.25</v>
      </c>
      <c r="J155" s="9">
        <v>0</v>
      </c>
      <c r="K155" s="2">
        <v>0</v>
      </c>
      <c r="L155" s="30">
        <f t="shared" si="29"/>
        <v>0</v>
      </c>
      <c r="M155" s="30">
        <f t="shared" si="24"/>
        <v>0</v>
      </c>
    </row>
    <row r="156" spans="1:18">
      <c r="E156" s="129" t="s">
        <v>551</v>
      </c>
      <c r="F156" s="53">
        <v>3</v>
      </c>
      <c r="G156" s="29" t="s">
        <v>160</v>
      </c>
      <c r="H156" s="85">
        <f t="shared" si="28"/>
        <v>0.375</v>
      </c>
      <c r="J156" s="9">
        <v>0</v>
      </c>
      <c r="K156" s="2">
        <v>0</v>
      </c>
      <c r="L156" s="30">
        <f t="shared" si="29"/>
        <v>0</v>
      </c>
      <c r="M156" s="30">
        <f t="shared" si="24"/>
        <v>0</v>
      </c>
      <c r="R156" s="116">
        <v>5.7</v>
      </c>
    </row>
    <row r="157" spans="1:18" ht="17.25" thickBot="1">
      <c r="A157" s="123"/>
      <c r="B157" s="123"/>
      <c r="C157" s="123"/>
      <c r="D157" s="123"/>
      <c r="E157" s="123"/>
      <c r="F157" s="40"/>
      <c r="G157" s="123"/>
      <c r="H157" s="124"/>
      <c r="I157" s="123"/>
      <c r="J157" s="123"/>
      <c r="K157" s="97">
        <f>SUM(K140:K156)</f>
        <v>7.93</v>
      </c>
      <c r="L157" s="125">
        <f>SUM(L140:L156)</f>
        <v>100</v>
      </c>
      <c r="M157" s="123"/>
      <c r="N157" s="125">
        <f>SUM(M140:M156)</f>
        <v>193.06431273644387</v>
      </c>
      <c r="O157" s="123"/>
      <c r="P157" s="40" t="s">
        <v>579</v>
      </c>
      <c r="Q157" s="126">
        <f>SUM(Q140:Q156)</f>
        <v>0.75</v>
      </c>
      <c r="R157" s="127">
        <f>SUM(R140:R156)</f>
        <v>5.7</v>
      </c>
    </row>
    <row r="158" spans="1:18">
      <c r="A158">
        <v>15</v>
      </c>
      <c r="B158" s="7" t="s">
        <v>606</v>
      </c>
      <c r="C158" s="6" t="s">
        <v>605</v>
      </c>
      <c r="D158" s="6" t="s">
        <v>540</v>
      </c>
      <c r="E158" s="130" t="s">
        <v>607</v>
      </c>
      <c r="F158" s="53">
        <v>1</v>
      </c>
      <c r="G158" s="29" t="s">
        <v>49</v>
      </c>
      <c r="H158" s="85">
        <f>F158/12</f>
        <v>8.3333333333333329E-2</v>
      </c>
      <c r="I158" s="10" t="s">
        <v>15</v>
      </c>
      <c r="J158" s="9">
        <v>2</v>
      </c>
      <c r="K158" s="2">
        <v>0.24</v>
      </c>
      <c r="L158" s="30">
        <f>K158/7.675*100</f>
        <v>3.1270358306188926</v>
      </c>
      <c r="M158" s="30">
        <f t="shared" si="24"/>
        <v>6.2540716612377851</v>
      </c>
    </row>
    <row r="159" spans="1:18">
      <c r="E159" s="130" t="s">
        <v>608</v>
      </c>
      <c r="F159" s="53">
        <v>2</v>
      </c>
      <c r="G159" s="29" t="s">
        <v>160</v>
      </c>
      <c r="H159" s="85">
        <f t="shared" ref="H159:H169" si="30">F159/12</f>
        <v>0.16666666666666666</v>
      </c>
      <c r="I159" s="10" t="s">
        <v>616</v>
      </c>
      <c r="J159" s="9">
        <v>2</v>
      </c>
      <c r="K159" s="2">
        <v>8.5000000000000006E-2</v>
      </c>
      <c r="L159" s="30">
        <f t="shared" ref="L159:L170" si="31">K159/7.675*100</f>
        <v>1.1074918566775247</v>
      </c>
      <c r="M159" s="30">
        <f t="shared" si="24"/>
        <v>2.2149837133550494</v>
      </c>
    </row>
    <row r="160" spans="1:18">
      <c r="E160" s="130" t="s">
        <v>558</v>
      </c>
      <c r="F160" s="53">
        <v>0</v>
      </c>
      <c r="G160" s="29" t="s">
        <v>617</v>
      </c>
      <c r="H160" s="85">
        <v>2.79</v>
      </c>
      <c r="K160" s="2">
        <v>0</v>
      </c>
      <c r="L160" s="30">
        <f t="shared" si="31"/>
        <v>0</v>
      </c>
      <c r="M160" s="30">
        <f t="shared" si="24"/>
        <v>0</v>
      </c>
      <c r="Q160" s="121">
        <v>2.79</v>
      </c>
    </row>
    <row r="161" spans="1:18">
      <c r="E161" s="130" t="s">
        <v>609</v>
      </c>
      <c r="F161" s="53">
        <v>2</v>
      </c>
      <c r="G161" s="29" t="s">
        <v>163</v>
      </c>
      <c r="H161" s="85">
        <f t="shared" si="30"/>
        <v>0.16666666666666666</v>
      </c>
      <c r="I161" s="10" t="s">
        <v>30</v>
      </c>
      <c r="J161" s="9">
        <v>2</v>
      </c>
      <c r="K161" s="2">
        <v>0.17</v>
      </c>
      <c r="L161" s="30">
        <f t="shared" si="31"/>
        <v>2.2149837133550494</v>
      </c>
      <c r="M161" s="30">
        <f t="shared" si="24"/>
        <v>4.4299674267100988</v>
      </c>
    </row>
    <row r="162" spans="1:18">
      <c r="E162" s="130" t="s">
        <v>593</v>
      </c>
      <c r="F162" s="53">
        <v>2</v>
      </c>
      <c r="G162" s="29" t="s">
        <v>574</v>
      </c>
      <c r="H162" s="85">
        <f t="shared" si="30"/>
        <v>0.16666666666666666</v>
      </c>
      <c r="I162" s="10" t="s">
        <v>603</v>
      </c>
      <c r="J162" s="9">
        <v>1</v>
      </c>
      <c r="K162" s="2">
        <v>2.7</v>
      </c>
      <c r="L162" s="30">
        <f t="shared" si="31"/>
        <v>35.179153094462542</v>
      </c>
      <c r="M162" s="30">
        <f t="shared" si="24"/>
        <v>35.179153094462542</v>
      </c>
    </row>
    <row r="163" spans="1:18">
      <c r="E163" s="133" t="s">
        <v>610</v>
      </c>
      <c r="F163" s="53">
        <v>1</v>
      </c>
      <c r="G163" s="29" t="s">
        <v>163</v>
      </c>
      <c r="H163" s="85">
        <f t="shared" si="30"/>
        <v>8.3333333333333329E-2</v>
      </c>
      <c r="I163" s="10" t="s">
        <v>14</v>
      </c>
      <c r="J163" s="9">
        <v>5</v>
      </c>
      <c r="K163" s="2">
        <v>0.1</v>
      </c>
      <c r="L163" s="30">
        <f t="shared" si="31"/>
        <v>1.3029315960912053</v>
      </c>
      <c r="M163" s="30">
        <f t="shared" si="24"/>
        <v>6.5146579804560272</v>
      </c>
    </row>
    <row r="164" spans="1:18">
      <c r="E164" s="130" t="s">
        <v>611</v>
      </c>
      <c r="F164" s="53">
        <v>45</v>
      </c>
      <c r="G164" s="29" t="s">
        <v>564</v>
      </c>
      <c r="H164" s="85">
        <f t="shared" si="30"/>
        <v>3.75</v>
      </c>
      <c r="I164" s="10" t="s">
        <v>601</v>
      </c>
      <c r="J164" s="9">
        <v>4</v>
      </c>
      <c r="K164" s="2">
        <v>0.46</v>
      </c>
      <c r="L164" s="30">
        <f t="shared" si="31"/>
        <v>5.9934853420195449</v>
      </c>
      <c r="M164" s="30">
        <f t="shared" si="24"/>
        <v>23.973941368078179</v>
      </c>
    </row>
    <row r="165" spans="1:18">
      <c r="E165" s="133" t="s">
        <v>612</v>
      </c>
      <c r="F165" s="53">
        <v>29</v>
      </c>
      <c r="G165" s="29" t="s">
        <v>564</v>
      </c>
      <c r="H165" s="85">
        <f t="shared" si="30"/>
        <v>2.4166666666666665</v>
      </c>
      <c r="I165" s="10" t="s">
        <v>601</v>
      </c>
      <c r="J165" s="9">
        <v>4</v>
      </c>
      <c r="K165" s="2">
        <v>0.3</v>
      </c>
      <c r="L165" s="30">
        <f t="shared" si="31"/>
        <v>3.9087947882736152</v>
      </c>
      <c r="M165" s="30">
        <f t="shared" si="24"/>
        <v>15.635179153094461</v>
      </c>
    </row>
    <row r="166" spans="1:18">
      <c r="E166" s="130" t="s">
        <v>597</v>
      </c>
      <c r="F166" s="53">
        <v>6</v>
      </c>
      <c r="G166" s="29" t="s">
        <v>564</v>
      </c>
      <c r="H166" s="85">
        <f t="shared" si="30"/>
        <v>0.5</v>
      </c>
      <c r="I166" s="10" t="s">
        <v>601</v>
      </c>
      <c r="J166" s="9">
        <v>4</v>
      </c>
      <c r="K166" s="2">
        <v>0.12</v>
      </c>
      <c r="L166" s="30">
        <f t="shared" si="31"/>
        <v>1.5635179153094463</v>
      </c>
      <c r="M166" s="30">
        <f t="shared" si="24"/>
        <v>6.2540716612377851</v>
      </c>
    </row>
    <row r="167" spans="1:18">
      <c r="E167" s="130" t="s">
        <v>591</v>
      </c>
      <c r="F167" s="53">
        <v>6</v>
      </c>
      <c r="G167" s="29" t="s">
        <v>163</v>
      </c>
      <c r="H167" s="85">
        <f t="shared" si="30"/>
        <v>0.5</v>
      </c>
      <c r="K167" s="2">
        <v>0.5</v>
      </c>
      <c r="L167" s="30">
        <f t="shared" si="31"/>
        <v>6.5146579804560263</v>
      </c>
      <c r="M167" s="30">
        <f t="shared" si="24"/>
        <v>0</v>
      </c>
    </row>
    <row r="168" spans="1:18">
      <c r="E168" s="130" t="s">
        <v>613</v>
      </c>
      <c r="F168" s="53">
        <v>2</v>
      </c>
      <c r="G168" s="29" t="s">
        <v>163</v>
      </c>
      <c r="H168" s="85">
        <f t="shared" si="30"/>
        <v>0.16666666666666666</v>
      </c>
      <c r="K168" s="2">
        <v>0</v>
      </c>
      <c r="L168" s="30">
        <f t="shared" si="31"/>
        <v>0</v>
      </c>
      <c r="M168" s="30">
        <f t="shared" si="24"/>
        <v>0</v>
      </c>
    </row>
    <row r="169" spans="1:18">
      <c r="E169" s="130" t="s">
        <v>614</v>
      </c>
      <c r="F169" s="53">
        <v>1</v>
      </c>
      <c r="G169" s="29" t="s">
        <v>161</v>
      </c>
      <c r="H169" s="85">
        <f t="shared" si="30"/>
        <v>8.3333333333333329E-2</v>
      </c>
      <c r="K169" s="2">
        <v>0</v>
      </c>
      <c r="L169" s="30">
        <f t="shared" si="31"/>
        <v>0</v>
      </c>
      <c r="M169" s="30">
        <f t="shared" si="24"/>
        <v>0</v>
      </c>
    </row>
    <row r="170" spans="1:18">
      <c r="E170" s="130" t="s">
        <v>615</v>
      </c>
      <c r="G170" s="29" t="s">
        <v>49</v>
      </c>
      <c r="H170" s="122">
        <v>1</v>
      </c>
      <c r="I170" s="10" t="s">
        <v>15</v>
      </c>
      <c r="J170" s="9">
        <v>2</v>
      </c>
      <c r="K170" s="2">
        <v>3</v>
      </c>
      <c r="L170" s="30">
        <f t="shared" si="31"/>
        <v>39.087947882736159</v>
      </c>
      <c r="M170" s="30">
        <f t="shared" si="24"/>
        <v>78.175895765472319</v>
      </c>
    </row>
    <row r="171" spans="1:18" ht="17.25" thickBot="1">
      <c r="A171" s="123"/>
      <c r="B171" s="123"/>
      <c r="C171" s="123"/>
      <c r="D171" s="123"/>
      <c r="E171" s="123"/>
      <c r="F171" s="40"/>
      <c r="G171" s="123"/>
      <c r="H171" s="124"/>
      <c r="I171" s="123"/>
      <c r="J171" s="123"/>
      <c r="K171" s="97">
        <f>SUM(K158:K170)</f>
        <v>7.6750000000000007</v>
      </c>
      <c r="L171" s="125">
        <f>SUM(L158:L170)</f>
        <v>100.00000000000001</v>
      </c>
      <c r="M171" s="123"/>
      <c r="N171" s="125">
        <f>SUM(M158:M170)</f>
        <v>178.63192182410427</v>
      </c>
      <c r="O171" s="123" t="s">
        <v>580</v>
      </c>
      <c r="P171" s="40" t="s">
        <v>618</v>
      </c>
      <c r="Q171" s="126">
        <f>SUM(Q158:Q170)</f>
        <v>2.79</v>
      </c>
      <c r="R171" s="127">
        <f>SUM(R158:R170)</f>
        <v>0</v>
      </c>
    </row>
    <row r="172" spans="1:18">
      <c r="A172">
        <v>16</v>
      </c>
      <c r="B172" s="7" t="s">
        <v>620</v>
      </c>
      <c r="C172" s="6" t="s">
        <v>619</v>
      </c>
      <c r="D172" s="6" t="s">
        <v>540</v>
      </c>
      <c r="E172" s="130" t="s">
        <v>551</v>
      </c>
      <c r="F172" s="53">
        <v>2</v>
      </c>
      <c r="G172" s="29" t="s">
        <v>160</v>
      </c>
      <c r="H172" s="85">
        <f>F172/4</f>
        <v>0.5</v>
      </c>
      <c r="K172" s="2">
        <v>0</v>
      </c>
      <c r="L172" s="30">
        <f>K172/11.32*100</f>
        <v>0</v>
      </c>
      <c r="M172" s="30">
        <f t="shared" si="24"/>
        <v>0</v>
      </c>
      <c r="R172" s="116">
        <v>7.5</v>
      </c>
    </row>
    <row r="173" spans="1:18">
      <c r="D173" s="6"/>
      <c r="E173" s="130" t="s">
        <v>588</v>
      </c>
      <c r="F173" s="53">
        <v>1</v>
      </c>
      <c r="G173" s="29" t="s">
        <v>163</v>
      </c>
      <c r="H173" s="85">
        <f t="shared" ref="H173:H177" si="32">F173/4</f>
        <v>0.25</v>
      </c>
      <c r="I173" s="10" t="s">
        <v>14</v>
      </c>
      <c r="J173" s="9">
        <v>5</v>
      </c>
      <c r="K173" s="2">
        <v>0.34</v>
      </c>
      <c r="L173" s="30">
        <f t="shared" ref="L173:L185" si="33">K173/11.32*100</f>
        <v>3.0035335689045937</v>
      </c>
      <c r="M173" s="30">
        <f t="shared" si="24"/>
        <v>15.017667844522968</v>
      </c>
    </row>
    <row r="174" spans="1:18">
      <c r="E174" s="130" t="s">
        <v>621</v>
      </c>
      <c r="F174" s="53">
        <v>0.33</v>
      </c>
      <c r="G174" s="29" t="s">
        <v>49</v>
      </c>
      <c r="H174" s="85">
        <f t="shared" si="32"/>
        <v>8.2500000000000004E-2</v>
      </c>
      <c r="I174" s="10" t="s">
        <v>270</v>
      </c>
      <c r="J174" s="9">
        <v>2</v>
      </c>
      <c r="K174" s="2">
        <v>0.64</v>
      </c>
      <c r="L174" s="30">
        <f t="shared" si="33"/>
        <v>5.6537102473498235</v>
      </c>
      <c r="M174" s="30">
        <f t="shared" si="24"/>
        <v>11.307420494699647</v>
      </c>
    </row>
    <row r="175" spans="1:18">
      <c r="E175" s="130" t="s">
        <v>622</v>
      </c>
      <c r="F175" s="53">
        <v>2</v>
      </c>
      <c r="G175" s="29" t="s">
        <v>160</v>
      </c>
      <c r="H175" s="85">
        <f t="shared" si="32"/>
        <v>0.5</v>
      </c>
      <c r="I175" s="10" t="s">
        <v>15</v>
      </c>
      <c r="J175" s="9">
        <v>2</v>
      </c>
      <c r="K175" s="2">
        <v>0.25</v>
      </c>
      <c r="L175" s="30">
        <f t="shared" si="33"/>
        <v>2.2084805653710249</v>
      </c>
      <c r="M175" s="30">
        <f t="shared" si="24"/>
        <v>4.4169611307420498</v>
      </c>
    </row>
    <row r="176" spans="1:18">
      <c r="E176" s="130" t="s">
        <v>623</v>
      </c>
      <c r="F176" s="53">
        <v>1.5</v>
      </c>
      <c r="G176" s="29" t="s">
        <v>574</v>
      </c>
      <c r="H176" s="85">
        <f t="shared" si="32"/>
        <v>0.375</v>
      </c>
      <c r="I176" s="10" t="s">
        <v>17</v>
      </c>
      <c r="J176" s="9">
        <v>1</v>
      </c>
      <c r="K176" s="2">
        <v>6.08</v>
      </c>
      <c r="L176" s="30">
        <f t="shared" si="33"/>
        <v>53.710247349823327</v>
      </c>
      <c r="M176" s="30">
        <f t="shared" si="24"/>
        <v>53.710247349823327</v>
      </c>
    </row>
    <row r="177" spans="1:18">
      <c r="E177" s="130" t="s">
        <v>558</v>
      </c>
      <c r="F177" s="53">
        <v>0.75</v>
      </c>
      <c r="G177" s="29" t="s">
        <v>161</v>
      </c>
      <c r="H177" s="85">
        <f t="shared" si="32"/>
        <v>0.1875</v>
      </c>
      <c r="K177" s="2">
        <v>0</v>
      </c>
      <c r="L177" s="30">
        <f t="shared" si="33"/>
        <v>0</v>
      </c>
      <c r="M177" s="30">
        <f t="shared" si="24"/>
        <v>0</v>
      </c>
      <c r="Q177" s="121">
        <v>0.56999999999999995</v>
      </c>
    </row>
    <row r="178" spans="1:18">
      <c r="E178" s="130" t="s">
        <v>624</v>
      </c>
      <c r="G178" s="29" t="s">
        <v>49</v>
      </c>
      <c r="H178" s="85">
        <v>0.5</v>
      </c>
      <c r="I178" s="10" t="s">
        <v>625</v>
      </c>
      <c r="J178" s="9">
        <v>5</v>
      </c>
      <c r="K178" s="2">
        <v>1</v>
      </c>
      <c r="L178" s="30">
        <f t="shared" si="33"/>
        <v>8.8339222614840995</v>
      </c>
      <c r="M178" s="30">
        <f t="shared" si="24"/>
        <v>44.169611307420496</v>
      </c>
    </row>
    <row r="179" spans="1:18">
      <c r="E179" s="130" t="s">
        <v>551</v>
      </c>
      <c r="G179" s="29" t="s">
        <v>160</v>
      </c>
      <c r="H179" s="85">
        <v>0.25</v>
      </c>
      <c r="K179" s="2">
        <v>0</v>
      </c>
      <c r="L179" s="30">
        <f t="shared" si="33"/>
        <v>0</v>
      </c>
      <c r="M179" s="30">
        <f t="shared" si="24"/>
        <v>0</v>
      </c>
      <c r="R179" s="116">
        <v>3.75</v>
      </c>
    </row>
    <row r="180" spans="1:18">
      <c r="C180" s="6" t="s">
        <v>698</v>
      </c>
      <c r="D180" s="6" t="s">
        <v>540</v>
      </c>
      <c r="E180" s="130" t="s">
        <v>626</v>
      </c>
      <c r="F180" s="53">
        <v>4</v>
      </c>
      <c r="G180" s="29" t="s">
        <v>49</v>
      </c>
      <c r="H180" s="85">
        <f t="shared" ref="H180:H185" si="34">F180/4</f>
        <v>1</v>
      </c>
      <c r="I180" s="10" t="s">
        <v>22</v>
      </c>
      <c r="J180" s="9">
        <v>5</v>
      </c>
      <c r="K180" s="2">
        <v>1</v>
      </c>
      <c r="L180" s="30">
        <f t="shared" si="33"/>
        <v>8.8339222614840995</v>
      </c>
      <c r="M180" s="30">
        <f t="shared" si="24"/>
        <v>44.169611307420496</v>
      </c>
    </row>
    <row r="181" spans="1:18">
      <c r="E181" s="130" t="s">
        <v>627</v>
      </c>
      <c r="F181" s="53">
        <v>2</v>
      </c>
      <c r="G181" s="29" t="s">
        <v>161</v>
      </c>
      <c r="H181" s="85">
        <f t="shared" si="34"/>
        <v>0.5</v>
      </c>
      <c r="I181" s="10" t="s">
        <v>23</v>
      </c>
      <c r="J181" s="9">
        <v>5</v>
      </c>
      <c r="K181" s="2">
        <v>0.01</v>
      </c>
      <c r="L181" s="30">
        <f t="shared" si="33"/>
        <v>8.8339222614840993E-2</v>
      </c>
      <c r="M181" s="30">
        <f t="shared" si="24"/>
        <v>0.44169611307420498</v>
      </c>
    </row>
    <row r="182" spans="1:18">
      <c r="E182" s="130" t="s">
        <v>591</v>
      </c>
      <c r="F182" s="53">
        <v>2</v>
      </c>
      <c r="G182" s="29" t="s">
        <v>163</v>
      </c>
      <c r="H182" s="85">
        <f t="shared" si="34"/>
        <v>0.5</v>
      </c>
      <c r="I182" s="10" t="s">
        <v>16</v>
      </c>
      <c r="J182" s="9">
        <v>5</v>
      </c>
      <c r="K182" s="2">
        <v>0.5</v>
      </c>
      <c r="L182" s="30">
        <f t="shared" si="33"/>
        <v>4.4169611307420498</v>
      </c>
      <c r="M182" s="30">
        <f t="shared" si="24"/>
        <v>22.084805653710248</v>
      </c>
    </row>
    <row r="183" spans="1:18">
      <c r="E183" s="130" t="s">
        <v>628</v>
      </c>
      <c r="F183" s="53">
        <v>2</v>
      </c>
      <c r="G183" s="29" t="s">
        <v>160</v>
      </c>
      <c r="H183" s="85">
        <f t="shared" si="34"/>
        <v>0.5</v>
      </c>
      <c r="K183" s="2">
        <v>0</v>
      </c>
      <c r="L183" s="30">
        <f t="shared" si="33"/>
        <v>0</v>
      </c>
      <c r="M183" s="30">
        <f t="shared" si="24"/>
        <v>0</v>
      </c>
      <c r="R183" s="116">
        <v>7.5</v>
      </c>
    </row>
    <row r="184" spans="1:18">
      <c r="E184" s="130" t="s">
        <v>629</v>
      </c>
      <c r="F184" s="53">
        <v>2</v>
      </c>
      <c r="G184" s="29" t="s">
        <v>49</v>
      </c>
      <c r="H184" s="85">
        <f t="shared" si="34"/>
        <v>0.5</v>
      </c>
      <c r="I184" s="10" t="s">
        <v>631</v>
      </c>
      <c r="J184" s="9">
        <v>5</v>
      </c>
      <c r="K184" s="2">
        <v>0.5</v>
      </c>
      <c r="L184" s="30">
        <f t="shared" si="33"/>
        <v>4.4169611307420498</v>
      </c>
      <c r="M184" s="30">
        <f t="shared" si="24"/>
        <v>22.084805653710248</v>
      </c>
    </row>
    <row r="185" spans="1:18">
      <c r="E185" s="130" t="s">
        <v>630</v>
      </c>
      <c r="F185" s="53">
        <v>24</v>
      </c>
      <c r="G185" s="29" t="s">
        <v>163</v>
      </c>
      <c r="H185" s="85">
        <f t="shared" si="34"/>
        <v>6</v>
      </c>
      <c r="I185" s="10" t="s">
        <v>135</v>
      </c>
      <c r="J185" s="9">
        <v>2</v>
      </c>
      <c r="K185" s="2">
        <v>1</v>
      </c>
      <c r="L185" s="30">
        <f t="shared" si="33"/>
        <v>8.8339222614840995</v>
      </c>
      <c r="M185" s="30">
        <f t="shared" si="24"/>
        <v>17.667844522968199</v>
      </c>
    </row>
    <row r="186" spans="1:18" ht="17.25" thickBot="1">
      <c r="A186" s="123"/>
      <c r="B186" s="123"/>
      <c r="C186" s="123"/>
      <c r="D186" s="123"/>
      <c r="E186" s="123"/>
      <c r="F186" s="40"/>
      <c r="G186" s="123"/>
      <c r="H186" s="86"/>
      <c r="I186" s="123"/>
      <c r="J186" s="123"/>
      <c r="K186" s="97">
        <f>SUM(K172:K185)</f>
        <v>11.32</v>
      </c>
      <c r="L186" s="125">
        <f>SUM(L172:L185)</f>
        <v>100.00000000000003</v>
      </c>
      <c r="M186" s="123"/>
      <c r="N186" s="125">
        <f>SUM(M172:M185)</f>
        <v>235.0706713780919</v>
      </c>
      <c r="O186" s="123"/>
      <c r="P186" s="40" t="s">
        <v>569</v>
      </c>
      <c r="Q186" s="126">
        <f>SUM(Q172:Q185)</f>
        <v>0.56999999999999995</v>
      </c>
      <c r="R186" s="127">
        <f>SUM(R172:R185)</f>
        <v>18.75</v>
      </c>
    </row>
    <row r="187" spans="1:18">
      <c r="A187">
        <v>17</v>
      </c>
      <c r="B187" s="7" t="s">
        <v>633</v>
      </c>
      <c r="C187" s="6" t="s">
        <v>632</v>
      </c>
      <c r="D187" s="6" t="s">
        <v>540</v>
      </c>
      <c r="E187" s="129" t="s">
        <v>634</v>
      </c>
      <c r="F187" s="53">
        <v>1</v>
      </c>
      <c r="G187" s="29" t="s">
        <v>574</v>
      </c>
      <c r="H187" s="85">
        <f>F187/6</f>
        <v>0.16666666666666666</v>
      </c>
      <c r="I187" s="10" t="s">
        <v>17</v>
      </c>
      <c r="J187" s="9">
        <v>1</v>
      </c>
      <c r="K187" s="2">
        <v>2.72</v>
      </c>
      <c r="L187" s="30">
        <f>K187/6.55*100</f>
        <v>41.526717557251914</v>
      </c>
      <c r="M187" s="30">
        <f t="shared" si="24"/>
        <v>41.526717557251914</v>
      </c>
    </row>
    <row r="188" spans="1:18">
      <c r="E188" s="129" t="s">
        <v>635</v>
      </c>
      <c r="F188" s="53">
        <v>1</v>
      </c>
      <c r="G188" s="29" t="s">
        <v>163</v>
      </c>
      <c r="H188" s="85">
        <f t="shared" ref="H188:H195" si="35">F188/6</f>
        <v>0.16666666666666666</v>
      </c>
      <c r="I188" s="10" t="s">
        <v>14</v>
      </c>
      <c r="J188" s="9">
        <v>5</v>
      </c>
      <c r="K188" s="2">
        <v>0.23</v>
      </c>
      <c r="L188" s="30">
        <f t="shared" ref="L188:L195" si="36">K188/6.55*100</f>
        <v>3.5114503816793894</v>
      </c>
      <c r="M188" s="30">
        <f t="shared" si="24"/>
        <v>17.557251908396946</v>
      </c>
    </row>
    <row r="189" spans="1:18">
      <c r="E189" s="129" t="s">
        <v>591</v>
      </c>
      <c r="F189" s="53">
        <v>3</v>
      </c>
      <c r="G189" s="29" t="s">
        <v>163</v>
      </c>
      <c r="H189" s="85">
        <f t="shared" si="35"/>
        <v>0.5</v>
      </c>
      <c r="I189" s="10" t="s">
        <v>16</v>
      </c>
      <c r="J189" s="9">
        <v>5</v>
      </c>
      <c r="K189" s="2">
        <v>0.5</v>
      </c>
      <c r="L189" s="30">
        <f t="shared" si="36"/>
        <v>7.6335877862595423</v>
      </c>
      <c r="M189" s="30">
        <f t="shared" si="24"/>
        <v>38.167938931297712</v>
      </c>
    </row>
    <row r="190" spans="1:18">
      <c r="E190" s="129" t="s">
        <v>641</v>
      </c>
      <c r="F190" s="53">
        <v>29</v>
      </c>
      <c r="G190" s="29" t="s">
        <v>564</v>
      </c>
      <c r="H190" s="85">
        <f t="shared" si="35"/>
        <v>4.833333333333333</v>
      </c>
      <c r="I190" s="10" t="s">
        <v>642</v>
      </c>
      <c r="J190" s="9">
        <v>4</v>
      </c>
      <c r="K190" s="2">
        <v>0.6</v>
      </c>
      <c r="L190" s="30">
        <f t="shared" si="36"/>
        <v>9.1603053435114496</v>
      </c>
      <c r="M190" s="30">
        <f t="shared" si="24"/>
        <v>36.641221374045799</v>
      </c>
    </row>
    <row r="191" spans="1:18">
      <c r="E191" s="129" t="s">
        <v>636</v>
      </c>
      <c r="F191" s="53">
        <v>30</v>
      </c>
      <c r="G191" s="29" t="s">
        <v>564</v>
      </c>
      <c r="H191" s="85">
        <f t="shared" si="35"/>
        <v>5</v>
      </c>
      <c r="I191" s="10" t="s">
        <v>643</v>
      </c>
      <c r="J191" s="9">
        <v>4</v>
      </c>
      <c r="K191" s="2">
        <v>1.25</v>
      </c>
      <c r="L191" s="30">
        <f t="shared" si="36"/>
        <v>19.083969465648856</v>
      </c>
      <c r="M191" s="30">
        <f t="shared" si="24"/>
        <v>76.335877862595424</v>
      </c>
    </row>
    <row r="192" spans="1:18">
      <c r="E192" s="129" t="s">
        <v>637</v>
      </c>
      <c r="F192" s="53">
        <v>30</v>
      </c>
      <c r="G192" s="29" t="s">
        <v>564</v>
      </c>
      <c r="H192" s="85">
        <f t="shared" si="35"/>
        <v>5</v>
      </c>
      <c r="I192" s="10" t="s">
        <v>20</v>
      </c>
      <c r="J192" s="9">
        <v>4</v>
      </c>
      <c r="K192" s="2">
        <v>1.25</v>
      </c>
      <c r="L192" s="30">
        <f t="shared" si="36"/>
        <v>19.083969465648856</v>
      </c>
      <c r="M192" s="30">
        <f t="shared" si="24"/>
        <v>76.335877862595424</v>
      </c>
    </row>
    <row r="193" spans="1:18">
      <c r="E193" s="129" t="s">
        <v>638</v>
      </c>
      <c r="F193" s="53">
        <v>2.5</v>
      </c>
      <c r="G193" s="29" t="s">
        <v>160</v>
      </c>
      <c r="H193" s="85">
        <f t="shared" si="35"/>
        <v>0.41666666666666669</v>
      </c>
      <c r="K193" s="2">
        <v>0</v>
      </c>
      <c r="L193" s="30">
        <f t="shared" si="36"/>
        <v>0</v>
      </c>
      <c r="M193" s="30">
        <f t="shared" si="24"/>
        <v>0</v>
      </c>
    </row>
    <row r="194" spans="1:18">
      <c r="E194" s="129" t="s">
        <v>639</v>
      </c>
      <c r="F194" s="53">
        <v>2</v>
      </c>
      <c r="G194" s="29" t="s">
        <v>161</v>
      </c>
      <c r="H194" s="85">
        <f t="shared" si="35"/>
        <v>0.33333333333333331</v>
      </c>
      <c r="K194" s="2">
        <v>0</v>
      </c>
      <c r="L194" s="30">
        <f t="shared" si="36"/>
        <v>0</v>
      </c>
      <c r="M194" s="30">
        <f t="shared" si="24"/>
        <v>0</v>
      </c>
    </row>
    <row r="195" spans="1:18">
      <c r="E195" s="129" t="s">
        <v>640</v>
      </c>
      <c r="F195" s="53">
        <v>0.5</v>
      </c>
      <c r="G195" s="29" t="s">
        <v>161</v>
      </c>
      <c r="H195" s="85">
        <f t="shared" si="35"/>
        <v>8.3333333333333329E-2</v>
      </c>
      <c r="K195" s="2">
        <v>0</v>
      </c>
      <c r="L195" s="30">
        <f t="shared" si="36"/>
        <v>0</v>
      </c>
      <c r="M195" s="30">
        <f t="shared" si="24"/>
        <v>0</v>
      </c>
      <c r="Q195" s="121">
        <v>0.24</v>
      </c>
    </row>
    <row r="196" spans="1:18" ht="17.25" thickBot="1">
      <c r="A196" s="123"/>
      <c r="B196" s="123"/>
      <c r="C196" s="123"/>
      <c r="D196" s="123"/>
      <c r="E196" s="123"/>
      <c r="F196" s="40"/>
      <c r="G196" s="123"/>
      <c r="H196" s="86"/>
      <c r="I196" s="123"/>
      <c r="J196" s="123"/>
      <c r="K196" s="97">
        <f>SUM(K187:K195)</f>
        <v>6.55</v>
      </c>
      <c r="L196" s="125">
        <f>SUM(L187:L195)</f>
        <v>100</v>
      </c>
      <c r="M196" s="123"/>
      <c r="N196" s="125">
        <f>SUM(M187:M195)</f>
        <v>286.56488549618325</v>
      </c>
      <c r="O196" s="123"/>
      <c r="P196" s="40" t="s">
        <v>644</v>
      </c>
      <c r="Q196" s="126">
        <f>SUM(Q187:Q195)</f>
        <v>0.24</v>
      </c>
      <c r="R196" s="127"/>
    </row>
    <row r="197" spans="1:18">
      <c r="A197">
        <v>18</v>
      </c>
      <c r="B197" s="7" t="s">
        <v>646</v>
      </c>
      <c r="C197" s="6" t="s">
        <v>645</v>
      </c>
      <c r="D197" s="6" t="s">
        <v>540</v>
      </c>
      <c r="E197" s="129" t="s">
        <v>647</v>
      </c>
      <c r="F197" s="53">
        <v>12</v>
      </c>
      <c r="G197" s="29" t="s">
        <v>163</v>
      </c>
      <c r="H197" s="85">
        <f>F197/6</f>
        <v>2</v>
      </c>
      <c r="I197" s="10" t="s">
        <v>654</v>
      </c>
      <c r="J197" s="9">
        <v>5</v>
      </c>
      <c r="K197" s="2">
        <v>0.5</v>
      </c>
      <c r="L197" s="30">
        <f>K197/4.33*100</f>
        <v>11.547344110854503</v>
      </c>
      <c r="M197" s="30">
        <f t="shared" si="24"/>
        <v>57.736720554272516</v>
      </c>
    </row>
    <row r="198" spans="1:18">
      <c r="E198" s="129" t="s">
        <v>648</v>
      </c>
      <c r="F198" s="53">
        <v>1</v>
      </c>
      <c r="G198" s="29" t="s">
        <v>49</v>
      </c>
      <c r="H198" s="85">
        <f t="shared" ref="H198:H207" si="37">F198/6</f>
        <v>0.16666666666666666</v>
      </c>
      <c r="I198" s="10" t="s">
        <v>655</v>
      </c>
      <c r="J198" s="9">
        <v>2</v>
      </c>
      <c r="K198" s="2">
        <v>0.5</v>
      </c>
      <c r="L198" s="30">
        <f t="shared" ref="L198:L207" si="38">K198/4.33*100</f>
        <v>11.547344110854503</v>
      </c>
      <c r="M198" s="30">
        <f t="shared" si="24"/>
        <v>23.094688221709006</v>
      </c>
    </row>
    <row r="199" spans="1:18">
      <c r="E199" s="129" t="s">
        <v>649</v>
      </c>
      <c r="F199" s="53">
        <v>0.25</v>
      </c>
      <c r="G199" s="29" t="s">
        <v>49</v>
      </c>
      <c r="H199" s="85">
        <f t="shared" si="37"/>
        <v>4.1666666666666664E-2</v>
      </c>
      <c r="I199" s="10" t="s">
        <v>14</v>
      </c>
      <c r="J199" s="9">
        <v>5</v>
      </c>
      <c r="K199" s="2">
        <v>0.08</v>
      </c>
      <c r="L199" s="30">
        <f t="shared" si="38"/>
        <v>1.8475750577367205</v>
      </c>
      <c r="M199" s="30">
        <f t="shared" ref="M199:M242" si="39">L199*J199</f>
        <v>9.2378752886836022</v>
      </c>
    </row>
    <row r="200" spans="1:18">
      <c r="E200" s="129" t="s">
        <v>650</v>
      </c>
      <c r="F200" s="53">
        <v>1</v>
      </c>
      <c r="G200" s="29" t="s">
        <v>163</v>
      </c>
      <c r="H200" s="85">
        <f t="shared" si="37"/>
        <v>0.16666666666666666</v>
      </c>
      <c r="I200" s="10" t="s">
        <v>656</v>
      </c>
      <c r="J200" s="9">
        <v>2</v>
      </c>
      <c r="K200" s="2">
        <v>0.17</v>
      </c>
      <c r="L200" s="30">
        <f t="shared" si="38"/>
        <v>3.9260969976905313</v>
      </c>
      <c r="M200" s="30">
        <f t="shared" si="39"/>
        <v>7.8521939953810627</v>
      </c>
    </row>
    <row r="201" spans="1:18">
      <c r="E201" s="129" t="s">
        <v>651</v>
      </c>
      <c r="F201" s="53">
        <v>0.25</v>
      </c>
      <c r="G201" s="29" t="s">
        <v>49</v>
      </c>
      <c r="H201" s="85">
        <f t="shared" si="37"/>
        <v>4.1666666666666664E-2</v>
      </c>
      <c r="I201" s="10" t="s">
        <v>28</v>
      </c>
      <c r="J201" s="9">
        <v>3</v>
      </c>
      <c r="K201" s="2">
        <v>0.04</v>
      </c>
      <c r="L201" s="30">
        <f t="shared" si="38"/>
        <v>0.92378752886836024</v>
      </c>
      <c r="M201" s="30">
        <f t="shared" si="39"/>
        <v>2.7713625866050808</v>
      </c>
    </row>
    <row r="202" spans="1:18">
      <c r="E202" s="129" t="s">
        <v>558</v>
      </c>
      <c r="F202" s="53">
        <v>0.5</v>
      </c>
      <c r="G202" s="29" t="s">
        <v>161</v>
      </c>
      <c r="H202" s="85">
        <f t="shared" si="37"/>
        <v>8.3333333333333329E-2</v>
      </c>
      <c r="K202" s="2">
        <v>0</v>
      </c>
      <c r="L202" s="30">
        <f t="shared" si="38"/>
        <v>0</v>
      </c>
      <c r="M202" s="30">
        <f t="shared" si="39"/>
        <v>0</v>
      </c>
      <c r="Q202" s="121">
        <v>0.24</v>
      </c>
    </row>
    <row r="203" spans="1:18">
      <c r="E203" s="129" t="s">
        <v>652</v>
      </c>
      <c r="F203" s="53">
        <v>1</v>
      </c>
      <c r="G203" s="29" t="s">
        <v>574</v>
      </c>
      <c r="H203" s="85">
        <f t="shared" si="37"/>
        <v>0.16666666666666666</v>
      </c>
      <c r="I203" s="10" t="s">
        <v>17</v>
      </c>
      <c r="J203" s="9">
        <v>1</v>
      </c>
      <c r="K203" s="2">
        <v>2.72</v>
      </c>
      <c r="L203" s="30">
        <f t="shared" si="38"/>
        <v>62.817551963048501</v>
      </c>
      <c r="M203" s="30">
        <f t="shared" si="39"/>
        <v>62.817551963048501</v>
      </c>
    </row>
    <row r="204" spans="1:18">
      <c r="E204" s="129" t="s">
        <v>653</v>
      </c>
      <c r="F204" s="53">
        <v>8</v>
      </c>
      <c r="G204" s="29" t="s">
        <v>564</v>
      </c>
      <c r="H204" s="85">
        <f t="shared" si="37"/>
        <v>1.3333333333333333</v>
      </c>
      <c r="I204" s="10" t="s">
        <v>642</v>
      </c>
      <c r="J204" s="9">
        <v>4</v>
      </c>
      <c r="K204" s="2">
        <v>0.3</v>
      </c>
      <c r="L204" s="30">
        <f t="shared" si="38"/>
        <v>6.9284064665127012</v>
      </c>
      <c r="M204" s="30">
        <f t="shared" si="39"/>
        <v>27.713625866050805</v>
      </c>
    </row>
    <row r="205" spans="1:18">
      <c r="E205" s="129" t="s">
        <v>598</v>
      </c>
      <c r="F205" s="53">
        <v>1</v>
      </c>
      <c r="G205" s="29" t="s">
        <v>160</v>
      </c>
      <c r="H205" s="85">
        <f t="shared" si="37"/>
        <v>0.16666666666666666</v>
      </c>
      <c r="K205" s="2">
        <v>0</v>
      </c>
      <c r="L205" s="30">
        <f t="shared" si="38"/>
        <v>0</v>
      </c>
      <c r="M205" s="30">
        <f t="shared" si="39"/>
        <v>0</v>
      </c>
    </row>
    <row r="206" spans="1:18">
      <c r="E206" s="129" t="s">
        <v>549</v>
      </c>
      <c r="F206" s="53">
        <v>1</v>
      </c>
      <c r="G206" s="29" t="s">
        <v>160</v>
      </c>
      <c r="H206" s="85">
        <f t="shared" si="37"/>
        <v>0.16666666666666666</v>
      </c>
      <c r="I206" s="10" t="s">
        <v>18</v>
      </c>
      <c r="J206" s="9">
        <v>5</v>
      </c>
      <c r="K206" s="2">
        <v>0.02</v>
      </c>
      <c r="L206" s="30">
        <f t="shared" si="38"/>
        <v>0.46189376443418012</v>
      </c>
      <c r="M206" s="30">
        <f t="shared" si="39"/>
        <v>2.3094688221709005</v>
      </c>
    </row>
    <row r="207" spans="1:18">
      <c r="E207" s="129" t="s">
        <v>595</v>
      </c>
      <c r="F207" s="53">
        <v>1</v>
      </c>
      <c r="G207" s="29" t="s">
        <v>161</v>
      </c>
      <c r="H207" s="85">
        <f t="shared" si="37"/>
        <v>0.16666666666666666</v>
      </c>
      <c r="K207" s="2">
        <v>0</v>
      </c>
      <c r="L207" s="30">
        <f t="shared" si="38"/>
        <v>0</v>
      </c>
      <c r="M207" s="30">
        <f t="shared" si="39"/>
        <v>0</v>
      </c>
    </row>
    <row r="208" spans="1:18" ht="17.25" thickBot="1">
      <c r="A208" s="123"/>
      <c r="B208" s="123"/>
      <c r="C208" s="123"/>
      <c r="D208" s="123"/>
      <c r="E208" s="123"/>
      <c r="F208" s="40"/>
      <c r="G208" s="123"/>
      <c r="H208" s="124"/>
      <c r="I208" s="123"/>
      <c r="J208" s="123"/>
      <c r="K208" s="97">
        <f>SUM(K197:K207)</f>
        <v>4.3299999999999992</v>
      </c>
      <c r="L208" s="125">
        <f>SUM(L197:L207)</f>
        <v>100</v>
      </c>
      <c r="M208" s="123"/>
      <c r="N208" s="125">
        <f>SUM(M197:M207)</f>
        <v>193.53348729792145</v>
      </c>
      <c r="O208" s="123"/>
      <c r="P208" s="40" t="s">
        <v>579</v>
      </c>
      <c r="Q208" s="126"/>
      <c r="R208" s="127"/>
    </row>
    <row r="209" spans="1:17">
      <c r="A209">
        <v>19</v>
      </c>
      <c r="B209" s="7" t="s">
        <v>657</v>
      </c>
      <c r="C209" s="6" t="s">
        <v>699</v>
      </c>
      <c r="D209" s="6" t="s">
        <v>540</v>
      </c>
      <c r="E209" s="130" t="s">
        <v>543</v>
      </c>
      <c r="F209" s="53">
        <v>3</v>
      </c>
      <c r="G209" s="29" t="s">
        <v>160</v>
      </c>
      <c r="H209" s="85">
        <f>F209/10</f>
        <v>0.3</v>
      </c>
      <c r="K209" s="2">
        <v>0</v>
      </c>
      <c r="L209" s="30">
        <f>K209/16.56*100</f>
        <v>0</v>
      </c>
      <c r="M209" s="30">
        <f t="shared" si="39"/>
        <v>0</v>
      </c>
    </row>
    <row r="210" spans="1:17">
      <c r="E210" s="130" t="s">
        <v>658</v>
      </c>
      <c r="F210" s="53">
        <v>2</v>
      </c>
      <c r="G210" s="29" t="s">
        <v>160</v>
      </c>
      <c r="H210" s="85">
        <f t="shared" ref="H210:H220" si="40">F210/10</f>
        <v>0.2</v>
      </c>
      <c r="I210" s="10" t="s">
        <v>23</v>
      </c>
      <c r="J210" s="9">
        <v>5</v>
      </c>
      <c r="K210" s="2">
        <v>0.25</v>
      </c>
      <c r="L210" s="30">
        <f t="shared" ref="L210:L227" si="41">K210/16.56*100</f>
        <v>1.5096618357487923</v>
      </c>
      <c r="M210" s="30">
        <f t="shared" si="39"/>
        <v>7.5483091787439616</v>
      </c>
    </row>
    <row r="211" spans="1:17">
      <c r="E211" s="130" t="s">
        <v>638</v>
      </c>
      <c r="F211" s="53">
        <v>2</v>
      </c>
      <c r="G211" s="29" t="s">
        <v>160</v>
      </c>
      <c r="H211" s="85">
        <f t="shared" si="40"/>
        <v>0.2</v>
      </c>
      <c r="K211" s="2">
        <v>0</v>
      </c>
      <c r="L211" s="30">
        <f t="shared" si="41"/>
        <v>0</v>
      </c>
      <c r="M211" s="30">
        <f t="shared" si="39"/>
        <v>0</v>
      </c>
    </row>
    <row r="212" spans="1:17">
      <c r="E212" s="130" t="s">
        <v>639</v>
      </c>
      <c r="F212" s="53">
        <v>3</v>
      </c>
      <c r="G212" s="29" t="s">
        <v>160</v>
      </c>
      <c r="H212" s="85">
        <f t="shared" si="40"/>
        <v>0.3</v>
      </c>
      <c r="K212" s="2">
        <v>0</v>
      </c>
      <c r="L212" s="30">
        <f t="shared" si="41"/>
        <v>0</v>
      </c>
      <c r="M212" s="30">
        <f t="shared" si="39"/>
        <v>0</v>
      </c>
    </row>
    <row r="213" spans="1:17">
      <c r="E213" s="130" t="s">
        <v>659</v>
      </c>
      <c r="F213" s="53">
        <v>2</v>
      </c>
      <c r="G213" s="29" t="s">
        <v>161</v>
      </c>
      <c r="H213" s="85">
        <f t="shared" si="40"/>
        <v>0.2</v>
      </c>
      <c r="K213" s="2">
        <v>0</v>
      </c>
      <c r="L213" s="30">
        <f t="shared" si="41"/>
        <v>0</v>
      </c>
      <c r="M213" s="30">
        <f t="shared" si="39"/>
        <v>0</v>
      </c>
    </row>
    <row r="214" spans="1:17">
      <c r="E214" s="130" t="s">
        <v>558</v>
      </c>
      <c r="F214" s="53">
        <v>1</v>
      </c>
      <c r="G214" s="29" t="s">
        <v>161</v>
      </c>
      <c r="H214" s="85">
        <f t="shared" si="40"/>
        <v>0.1</v>
      </c>
      <c r="K214" s="2">
        <v>0</v>
      </c>
      <c r="L214" s="30">
        <f t="shared" si="41"/>
        <v>0</v>
      </c>
      <c r="M214" s="30">
        <f t="shared" si="39"/>
        <v>0</v>
      </c>
      <c r="Q214" s="121">
        <v>0.3</v>
      </c>
    </row>
    <row r="215" spans="1:17">
      <c r="E215" s="130" t="s">
        <v>660</v>
      </c>
      <c r="F215" s="53">
        <v>6</v>
      </c>
      <c r="G215" s="29" t="s">
        <v>574</v>
      </c>
      <c r="H215" s="85">
        <f t="shared" si="40"/>
        <v>0.6</v>
      </c>
      <c r="I215" s="10" t="s">
        <v>669</v>
      </c>
      <c r="J215" s="9">
        <v>1</v>
      </c>
      <c r="K215" s="9">
        <v>9.6</v>
      </c>
      <c r="L215" s="30">
        <f t="shared" si="41"/>
        <v>57.971014492753625</v>
      </c>
      <c r="M215" s="30">
        <f t="shared" si="39"/>
        <v>57.971014492753625</v>
      </c>
    </row>
    <row r="216" spans="1:17">
      <c r="E216" s="130" t="s">
        <v>661</v>
      </c>
      <c r="F216" s="53">
        <v>1</v>
      </c>
      <c r="G216" s="29" t="s">
        <v>49</v>
      </c>
      <c r="H216" s="85">
        <f t="shared" si="40"/>
        <v>0.1</v>
      </c>
      <c r="K216" s="2">
        <v>0</v>
      </c>
      <c r="L216" s="30">
        <f t="shared" si="41"/>
        <v>0</v>
      </c>
      <c r="M216" s="30">
        <f t="shared" si="39"/>
        <v>0</v>
      </c>
    </row>
    <row r="217" spans="1:17">
      <c r="E217" s="130" t="s">
        <v>543</v>
      </c>
      <c r="F217" s="53">
        <v>1</v>
      </c>
      <c r="G217" s="29" t="s">
        <v>49</v>
      </c>
      <c r="H217" s="85">
        <f t="shared" si="40"/>
        <v>0.1</v>
      </c>
      <c r="K217" s="2">
        <v>0</v>
      </c>
      <c r="L217" s="30">
        <f t="shared" si="41"/>
        <v>0</v>
      </c>
      <c r="M217" s="30">
        <f t="shared" si="39"/>
        <v>0</v>
      </c>
    </row>
    <row r="218" spans="1:17">
      <c r="E218" s="130" t="s">
        <v>596</v>
      </c>
      <c r="F218" s="53">
        <v>0.66</v>
      </c>
      <c r="G218" s="29" t="s">
        <v>49</v>
      </c>
      <c r="H218" s="85">
        <f t="shared" si="40"/>
        <v>6.6000000000000003E-2</v>
      </c>
      <c r="I218" s="10" t="s">
        <v>642</v>
      </c>
      <c r="J218" s="9">
        <v>4</v>
      </c>
      <c r="K218" s="2">
        <v>0.14000000000000001</v>
      </c>
      <c r="L218" s="30">
        <f t="shared" si="41"/>
        <v>0.84541062801932376</v>
      </c>
      <c r="M218" s="30">
        <f t="shared" si="39"/>
        <v>3.381642512077295</v>
      </c>
    </row>
    <row r="219" spans="1:17">
      <c r="E219" s="130" t="s">
        <v>549</v>
      </c>
      <c r="F219" s="53">
        <v>0.33</v>
      </c>
      <c r="G219" s="29" t="s">
        <v>49</v>
      </c>
      <c r="H219" s="85">
        <f t="shared" si="40"/>
        <v>3.3000000000000002E-2</v>
      </c>
      <c r="I219" s="10" t="s">
        <v>18</v>
      </c>
      <c r="J219" s="9">
        <v>5</v>
      </c>
      <c r="K219" s="2">
        <v>0.06</v>
      </c>
      <c r="L219" s="30">
        <f t="shared" si="41"/>
        <v>0.36231884057971014</v>
      </c>
      <c r="M219" s="30">
        <f t="shared" si="39"/>
        <v>1.8115942028985508</v>
      </c>
    </row>
    <row r="220" spans="1:17">
      <c r="E220" s="130" t="s">
        <v>627</v>
      </c>
      <c r="F220" s="53">
        <v>1.5</v>
      </c>
      <c r="G220" s="29" t="s">
        <v>163</v>
      </c>
      <c r="H220" s="122">
        <f t="shared" si="40"/>
        <v>0.15</v>
      </c>
      <c r="K220" s="2">
        <v>0</v>
      </c>
      <c r="L220" s="30">
        <f t="shared" si="41"/>
        <v>0</v>
      </c>
      <c r="M220" s="30">
        <f t="shared" si="39"/>
        <v>0</v>
      </c>
    </row>
    <row r="221" spans="1:17">
      <c r="C221" s="6" t="s">
        <v>662</v>
      </c>
      <c r="D221" s="6" t="s">
        <v>540</v>
      </c>
      <c r="E221" s="130" t="s">
        <v>663</v>
      </c>
      <c r="F221" s="53">
        <v>6</v>
      </c>
      <c r="G221" s="29" t="s">
        <v>49</v>
      </c>
      <c r="H221" s="122">
        <f>F221/4</f>
        <v>1.5</v>
      </c>
      <c r="I221" s="10" t="s">
        <v>56</v>
      </c>
      <c r="J221" s="9">
        <v>5</v>
      </c>
      <c r="K221" s="2">
        <v>1.5</v>
      </c>
      <c r="L221" s="30">
        <f t="shared" si="41"/>
        <v>9.0579710144927557</v>
      </c>
      <c r="M221" s="30">
        <f t="shared" si="39"/>
        <v>45.28985507246378</v>
      </c>
    </row>
    <row r="222" spans="1:17">
      <c r="E222" s="130" t="s">
        <v>664</v>
      </c>
      <c r="F222" s="53">
        <v>2</v>
      </c>
      <c r="G222" s="29" t="s">
        <v>163</v>
      </c>
      <c r="H222" s="122">
        <f t="shared" ref="H222:H227" si="42">F222/4</f>
        <v>0.5</v>
      </c>
      <c r="I222" s="10" t="s">
        <v>642</v>
      </c>
      <c r="J222" s="9">
        <v>4</v>
      </c>
      <c r="K222" s="2">
        <v>0.2</v>
      </c>
      <c r="L222" s="30">
        <f t="shared" si="41"/>
        <v>1.2077294685990341</v>
      </c>
      <c r="M222" s="30">
        <f t="shared" si="39"/>
        <v>4.8309178743961363</v>
      </c>
    </row>
    <row r="223" spans="1:17">
      <c r="E223" s="130" t="s">
        <v>665</v>
      </c>
      <c r="F223" s="53">
        <v>0.75</v>
      </c>
      <c r="G223" s="29" t="s">
        <v>49</v>
      </c>
      <c r="H223" s="122">
        <f t="shared" si="42"/>
        <v>0.1875</v>
      </c>
      <c r="I223" s="10" t="s">
        <v>670</v>
      </c>
      <c r="J223" s="9">
        <v>1</v>
      </c>
      <c r="K223" s="2">
        <v>1.5</v>
      </c>
      <c r="L223" s="30">
        <f t="shared" si="41"/>
        <v>9.0579710144927557</v>
      </c>
      <c r="M223" s="30">
        <f t="shared" si="39"/>
        <v>9.0579710144927557</v>
      </c>
    </row>
    <row r="224" spans="1:17">
      <c r="E224" s="130" t="s">
        <v>666</v>
      </c>
      <c r="F224" s="53">
        <v>2</v>
      </c>
      <c r="G224" s="29" t="s">
        <v>163</v>
      </c>
      <c r="H224" s="122">
        <f t="shared" si="42"/>
        <v>0.5</v>
      </c>
      <c r="I224" s="10" t="s">
        <v>30</v>
      </c>
      <c r="J224" s="9">
        <v>2</v>
      </c>
      <c r="K224" s="2">
        <v>0.5</v>
      </c>
      <c r="L224" s="30">
        <f t="shared" si="41"/>
        <v>3.0193236714975846</v>
      </c>
      <c r="M224" s="30">
        <f t="shared" si="39"/>
        <v>6.0386473429951693</v>
      </c>
    </row>
    <row r="225" spans="1:18">
      <c r="E225" s="130" t="s">
        <v>667</v>
      </c>
      <c r="F225" s="53">
        <v>0.75</v>
      </c>
      <c r="G225" s="29" t="s">
        <v>49</v>
      </c>
      <c r="H225" s="122">
        <f t="shared" si="42"/>
        <v>0.1875</v>
      </c>
      <c r="I225" s="10" t="s">
        <v>671</v>
      </c>
      <c r="J225" s="9">
        <v>3</v>
      </c>
      <c r="K225" s="2">
        <v>1.5</v>
      </c>
      <c r="L225" s="30">
        <f t="shared" si="41"/>
        <v>9.0579710144927557</v>
      </c>
      <c r="M225" s="30">
        <f t="shared" si="39"/>
        <v>27.173913043478265</v>
      </c>
    </row>
    <row r="226" spans="1:18">
      <c r="E226" s="130" t="s">
        <v>668</v>
      </c>
      <c r="F226" s="53">
        <v>1.25</v>
      </c>
      <c r="G226" s="29" t="s">
        <v>49</v>
      </c>
      <c r="H226" s="122">
        <f t="shared" si="42"/>
        <v>0.3125</v>
      </c>
      <c r="I226" s="10" t="s">
        <v>672</v>
      </c>
      <c r="J226" s="9">
        <v>5</v>
      </c>
      <c r="K226" s="2">
        <v>0.31</v>
      </c>
      <c r="L226" s="30">
        <f t="shared" si="41"/>
        <v>1.8719806763285023</v>
      </c>
      <c r="M226" s="30">
        <f t="shared" si="39"/>
        <v>9.3599033816425106</v>
      </c>
    </row>
    <row r="227" spans="1:18">
      <c r="E227" s="130" t="s">
        <v>621</v>
      </c>
      <c r="F227" s="53">
        <v>0.5</v>
      </c>
      <c r="G227" s="29" t="s">
        <v>49</v>
      </c>
      <c r="H227" s="122">
        <f t="shared" si="42"/>
        <v>0.125</v>
      </c>
      <c r="I227" s="10" t="s">
        <v>673</v>
      </c>
      <c r="J227" s="9">
        <v>2</v>
      </c>
      <c r="K227" s="2">
        <v>1</v>
      </c>
      <c r="L227" s="30">
        <f t="shared" si="41"/>
        <v>6.0386473429951693</v>
      </c>
      <c r="M227" s="30">
        <f t="shared" si="39"/>
        <v>12.077294685990339</v>
      </c>
    </row>
    <row r="228" spans="1:18" ht="17.25" thickBot="1">
      <c r="A228" s="123"/>
      <c r="B228" s="123"/>
      <c r="C228" s="123"/>
      <c r="D228" s="123"/>
      <c r="E228" s="123"/>
      <c r="F228" s="40"/>
      <c r="G228" s="123"/>
      <c r="H228" s="124"/>
      <c r="I228" s="123"/>
      <c r="J228" s="123"/>
      <c r="K228" s="97">
        <f>SUM(K209:K227)</f>
        <v>16.560000000000002</v>
      </c>
      <c r="L228" s="125">
        <f>SUM(L209:L227)</f>
        <v>100</v>
      </c>
      <c r="M228" s="123"/>
      <c r="N228" s="125">
        <f>SUM(M209:M227)</f>
        <v>184.54106280193236</v>
      </c>
      <c r="O228" s="123"/>
      <c r="P228" s="40" t="s">
        <v>579</v>
      </c>
      <c r="Q228" s="126">
        <v>0.3</v>
      </c>
      <c r="R228" s="127"/>
    </row>
    <row r="229" spans="1:18">
      <c r="A229">
        <v>20</v>
      </c>
      <c r="B229" s="7" t="s">
        <v>675</v>
      </c>
      <c r="C229" s="6" t="s">
        <v>674</v>
      </c>
      <c r="E229" s="129" t="s">
        <v>676</v>
      </c>
      <c r="F229" s="53">
        <v>0.25</v>
      </c>
      <c r="G229" s="29" t="s">
        <v>49</v>
      </c>
      <c r="H229" s="85">
        <f>F229/6</f>
        <v>4.1666666666666664E-2</v>
      </c>
      <c r="I229" s="10" t="s">
        <v>18</v>
      </c>
      <c r="J229" s="9">
        <v>5</v>
      </c>
      <c r="K229" s="2">
        <v>0.08</v>
      </c>
      <c r="L229" s="30">
        <f>K229/9.62*100</f>
        <v>0.83160083160083165</v>
      </c>
      <c r="M229" s="30">
        <f t="shared" si="39"/>
        <v>4.1580041580041582</v>
      </c>
    </row>
    <row r="230" spans="1:18">
      <c r="E230" s="129" t="s">
        <v>677</v>
      </c>
      <c r="F230" s="53">
        <v>1</v>
      </c>
      <c r="G230" s="29" t="s">
        <v>163</v>
      </c>
      <c r="H230" s="85">
        <f t="shared" ref="H230:H242" si="43">F230/6</f>
        <v>0.16666666666666666</v>
      </c>
      <c r="I230" s="10" t="s">
        <v>686</v>
      </c>
      <c r="J230" s="9">
        <v>5</v>
      </c>
      <c r="K230" s="2">
        <v>0.17</v>
      </c>
      <c r="L230" s="30">
        <f t="shared" ref="L230:L242" si="44">K230/9.62*100</f>
        <v>1.7671517671517671</v>
      </c>
      <c r="M230" s="30">
        <f t="shared" si="39"/>
        <v>8.8357588357588348</v>
      </c>
    </row>
    <row r="231" spans="1:18">
      <c r="E231" s="129" t="s">
        <v>638</v>
      </c>
      <c r="F231" s="53">
        <v>1</v>
      </c>
      <c r="G231" s="29" t="s">
        <v>161</v>
      </c>
      <c r="H231" s="85">
        <f t="shared" si="43"/>
        <v>0.16666666666666666</v>
      </c>
      <c r="K231" s="2">
        <v>0</v>
      </c>
      <c r="L231" s="30">
        <f t="shared" si="44"/>
        <v>0</v>
      </c>
      <c r="M231" s="30">
        <f t="shared" si="39"/>
        <v>0</v>
      </c>
    </row>
    <row r="232" spans="1:18">
      <c r="E232" s="129" t="s">
        <v>558</v>
      </c>
      <c r="F232" s="53">
        <v>0.5</v>
      </c>
      <c r="G232" s="29" t="s">
        <v>161</v>
      </c>
      <c r="H232" s="85">
        <f t="shared" si="43"/>
        <v>8.3333333333333329E-2</v>
      </c>
      <c r="K232" s="2">
        <v>0</v>
      </c>
      <c r="L232" s="30">
        <f t="shared" si="44"/>
        <v>0</v>
      </c>
      <c r="M232" s="30">
        <f t="shared" si="39"/>
        <v>0</v>
      </c>
      <c r="Q232" s="121">
        <v>0.24</v>
      </c>
    </row>
    <row r="233" spans="1:18">
      <c r="E233" s="129" t="s">
        <v>639</v>
      </c>
      <c r="F233" s="53">
        <v>0.5</v>
      </c>
      <c r="G233" s="29" t="s">
        <v>161</v>
      </c>
      <c r="H233" s="85">
        <f t="shared" si="43"/>
        <v>8.3333333333333329E-2</v>
      </c>
      <c r="K233" s="2">
        <v>0</v>
      </c>
      <c r="L233" s="30">
        <f t="shared" si="44"/>
        <v>0</v>
      </c>
      <c r="M233" s="30">
        <f t="shared" si="39"/>
        <v>0</v>
      </c>
    </row>
    <row r="234" spans="1:18">
      <c r="E234" s="129" t="s">
        <v>678</v>
      </c>
      <c r="F234" s="53">
        <v>2</v>
      </c>
      <c r="G234" s="29" t="s">
        <v>160</v>
      </c>
      <c r="H234" s="85">
        <f t="shared" si="43"/>
        <v>0.33333333333333331</v>
      </c>
      <c r="K234" s="2">
        <v>0</v>
      </c>
      <c r="L234" s="30">
        <f t="shared" si="44"/>
        <v>0</v>
      </c>
      <c r="M234" s="30">
        <f t="shared" si="39"/>
        <v>0</v>
      </c>
      <c r="R234" s="116">
        <v>4.95</v>
      </c>
    </row>
    <row r="235" spans="1:18">
      <c r="E235" s="129" t="s">
        <v>679</v>
      </c>
      <c r="F235" s="53">
        <v>1.5</v>
      </c>
      <c r="G235" s="29" t="s">
        <v>574</v>
      </c>
      <c r="H235" s="85">
        <f t="shared" si="43"/>
        <v>0.25</v>
      </c>
      <c r="I235" s="10" t="s">
        <v>687</v>
      </c>
      <c r="J235" s="9">
        <v>1</v>
      </c>
      <c r="K235" s="2">
        <v>4</v>
      </c>
      <c r="L235" s="30">
        <f t="shared" si="44"/>
        <v>41.580041580041581</v>
      </c>
      <c r="M235" s="30">
        <f t="shared" si="39"/>
        <v>41.580041580041581</v>
      </c>
    </row>
    <row r="236" spans="1:18">
      <c r="E236" s="134" t="s">
        <v>588</v>
      </c>
      <c r="F236" s="53">
        <v>1</v>
      </c>
      <c r="G236" s="29" t="s">
        <v>163</v>
      </c>
      <c r="H236" s="85">
        <f t="shared" si="43"/>
        <v>0.16666666666666666</v>
      </c>
      <c r="I236" s="10" t="s">
        <v>14</v>
      </c>
      <c r="J236" s="9">
        <v>5</v>
      </c>
      <c r="K236" s="2">
        <v>0.23</v>
      </c>
      <c r="L236" s="30">
        <f t="shared" si="44"/>
        <v>2.3908523908523911</v>
      </c>
      <c r="M236" s="30">
        <f t="shared" si="39"/>
        <v>11.954261954261955</v>
      </c>
    </row>
    <row r="237" spans="1:18">
      <c r="E237" s="129" t="s">
        <v>680</v>
      </c>
      <c r="F237" s="53">
        <v>0.5</v>
      </c>
      <c r="G237" s="29" t="s">
        <v>163</v>
      </c>
      <c r="H237" s="85">
        <f t="shared" si="43"/>
        <v>8.3333333333333329E-2</v>
      </c>
      <c r="I237" s="10" t="s">
        <v>600</v>
      </c>
      <c r="J237" s="9">
        <v>5</v>
      </c>
      <c r="K237" s="2">
        <v>0.18</v>
      </c>
      <c r="L237" s="30">
        <f t="shared" si="44"/>
        <v>1.8711018711018712</v>
      </c>
      <c r="M237" s="30">
        <f t="shared" si="39"/>
        <v>9.3555093555093567</v>
      </c>
    </row>
    <row r="238" spans="1:18">
      <c r="E238" s="129" t="s">
        <v>681</v>
      </c>
      <c r="F238" s="53">
        <v>0.5</v>
      </c>
      <c r="G238" s="29" t="s">
        <v>163</v>
      </c>
      <c r="H238" s="85">
        <f t="shared" si="43"/>
        <v>8.3333333333333329E-2</v>
      </c>
      <c r="I238" s="10" t="s">
        <v>688</v>
      </c>
      <c r="J238" s="9">
        <v>5</v>
      </c>
      <c r="K238" s="2">
        <v>0.18</v>
      </c>
      <c r="L238" s="30">
        <f t="shared" si="44"/>
        <v>1.8711018711018712</v>
      </c>
      <c r="M238" s="30">
        <f t="shared" si="39"/>
        <v>9.3555093555093567</v>
      </c>
    </row>
    <row r="239" spans="1:18">
      <c r="E239" s="129" t="s">
        <v>682</v>
      </c>
      <c r="F239" s="53">
        <v>0.5</v>
      </c>
      <c r="G239" s="29" t="s">
        <v>163</v>
      </c>
      <c r="H239" s="85">
        <f t="shared" si="43"/>
        <v>8.3333333333333329E-2</v>
      </c>
      <c r="I239" s="10" t="s">
        <v>688</v>
      </c>
      <c r="J239" s="9">
        <v>5</v>
      </c>
      <c r="K239" s="2">
        <v>0.18</v>
      </c>
      <c r="L239" s="30">
        <f t="shared" si="44"/>
        <v>1.8711018711018712</v>
      </c>
      <c r="M239" s="30">
        <f t="shared" si="39"/>
        <v>9.3555093555093567</v>
      </c>
    </row>
    <row r="240" spans="1:18">
      <c r="E240" s="129" t="s">
        <v>683</v>
      </c>
      <c r="F240" s="53">
        <v>0.5</v>
      </c>
      <c r="G240" s="29" t="s">
        <v>49</v>
      </c>
      <c r="H240" s="85">
        <f t="shared" si="43"/>
        <v>8.3333333333333329E-2</v>
      </c>
      <c r="K240" s="2">
        <v>0</v>
      </c>
      <c r="L240" s="30">
        <f t="shared" si="44"/>
        <v>0</v>
      </c>
      <c r="M240" s="30">
        <f t="shared" si="39"/>
        <v>0</v>
      </c>
    </row>
    <row r="241" spans="1:18">
      <c r="E241" s="134" t="s">
        <v>684</v>
      </c>
      <c r="F241" s="53">
        <v>12</v>
      </c>
      <c r="G241" s="29" t="s">
        <v>163</v>
      </c>
      <c r="H241" s="85">
        <f t="shared" si="43"/>
        <v>2</v>
      </c>
      <c r="I241" s="10" t="s">
        <v>689</v>
      </c>
      <c r="J241" s="9">
        <v>2</v>
      </c>
      <c r="K241" s="2">
        <v>2.6</v>
      </c>
      <c r="L241" s="30">
        <f t="shared" si="44"/>
        <v>27.027027027027028</v>
      </c>
      <c r="M241" s="30">
        <f t="shared" si="39"/>
        <v>54.054054054054056</v>
      </c>
    </row>
    <row r="242" spans="1:18">
      <c r="E242" s="129" t="s">
        <v>685</v>
      </c>
      <c r="F242" s="53">
        <v>1.5</v>
      </c>
      <c r="G242" s="29" t="s">
        <v>49</v>
      </c>
      <c r="H242" s="122">
        <f t="shared" si="43"/>
        <v>0.25</v>
      </c>
      <c r="I242" s="10" t="s">
        <v>690</v>
      </c>
      <c r="J242" s="9">
        <v>2</v>
      </c>
      <c r="K242" s="2">
        <v>2</v>
      </c>
      <c r="L242" s="30">
        <f t="shared" si="44"/>
        <v>20.79002079002079</v>
      </c>
      <c r="M242" s="30">
        <f t="shared" si="39"/>
        <v>41.580041580041581</v>
      </c>
    </row>
    <row r="243" spans="1:18" ht="17.25" thickBot="1">
      <c r="A243" s="123"/>
      <c r="B243" s="123"/>
      <c r="C243" s="123"/>
      <c r="D243" s="123"/>
      <c r="E243" s="123"/>
      <c r="F243" s="40"/>
      <c r="G243" s="123"/>
      <c r="H243" s="124"/>
      <c r="I243" s="44"/>
      <c r="J243" s="132"/>
      <c r="K243" s="97">
        <f>SUM(K229:K242)</f>
        <v>9.6199999999999992</v>
      </c>
      <c r="L243" s="125">
        <f>SUM(L229:L242)</f>
        <v>100</v>
      </c>
      <c r="M243" s="123"/>
      <c r="N243" s="125">
        <f>SUM(M229:M242)</f>
        <v>190.22869022869023</v>
      </c>
      <c r="O243" s="123"/>
      <c r="P243" s="40" t="s">
        <v>579</v>
      </c>
      <c r="Q243" s="126">
        <v>0.24</v>
      </c>
      <c r="R243" s="127">
        <v>4.95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ACFS2.0-CANpro</vt:lpstr>
      <vt:lpstr>recipe-KOR</vt:lpstr>
      <vt:lpstr>recipe-china</vt:lpstr>
      <vt:lpstr>recipe-mediterranean</vt:lpstr>
      <vt:lpstr>recipe-vegetarian</vt:lpstr>
      <vt:lpstr>recipe-western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joun seok</dc:creator>
  <cp:lastModifiedBy>KNS</cp:lastModifiedBy>
  <cp:lastPrinted>2018-12-05T13:09:34Z</cp:lastPrinted>
  <dcterms:created xsi:type="dcterms:W3CDTF">2018-07-02T01:14:00Z</dcterms:created>
  <dcterms:modified xsi:type="dcterms:W3CDTF">2019-07-23T08:07:12Z</dcterms:modified>
</cp:coreProperties>
</file>