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uk.yasser\OneDrive - AlRayan Colleges\Desktop\Researches\OSCE article\OSCE 2\"/>
    </mc:Choice>
  </mc:AlternateContent>
  <xr:revisionPtr revIDLastSave="0" documentId="13_ncr:1_{18538391-5BA3-452E-A137-BC14A20B0FA4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Course Detail" sheetId="1" r:id="rId1"/>
    <sheet name="System Setup" sheetId="2" state="hidden" r:id="rId2"/>
    <sheet name="Examinar Data" sheetId="4" r:id="rId3"/>
    <sheet name="OSCE Detail Result " sheetId="5" r:id="rId4"/>
    <sheet name="Assessment Report" sheetId="6" r:id="rId5"/>
    <sheet name="LO Achievement Report" sheetId="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_FilterDatabase" localSheetId="2" hidden="1">'Examinar Data'!$B$6:$R$202</definedName>
    <definedName name="_xlnm._FilterDatabase" localSheetId="1" hidden="1">'System Setup'!$AC$2:$AC$33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7" l="1"/>
  <c r="G34" i="4"/>
  <c r="B127" i="7"/>
  <c r="B126" i="7"/>
  <c r="B125" i="7"/>
  <c r="B124" i="7"/>
  <c r="B123" i="7"/>
  <c r="B122" i="7"/>
  <c r="F121" i="7"/>
  <c r="E121" i="7"/>
  <c r="D121" i="7"/>
  <c r="B121" i="7"/>
  <c r="F120" i="7"/>
  <c r="E120" i="7"/>
  <c r="D120" i="7"/>
  <c r="B120" i="7"/>
  <c r="F119" i="7"/>
  <c r="E119" i="7"/>
  <c r="D119" i="7"/>
  <c r="B119" i="7"/>
  <c r="F118" i="7"/>
  <c r="E118" i="7"/>
  <c r="D118" i="7"/>
  <c r="B118" i="7"/>
  <c r="F117" i="7"/>
  <c r="E117" i="7"/>
  <c r="D117" i="7"/>
  <c r="B117" i="7"/>
  <c r="F116" i="7"/>
  <c r="E116" i="7"/>
  <c r="D116" i="7"/>
  <c r="B116" i="7"/>
  <c r="F115" i="7"/>
  <c r="E115" i="7"/>
  <c r="D115" i="7"/>
  <c r="B115" i="7"/>
  <c r="F114" i="7"/>
  <c r="E114" i="7"/>
  <c r="D114" i="7"/>
  <c r="B114" i="7"/>
  <c r="F113" i="7"/>
  <c r="E113" i="7"/>
  <c r="D113" i="7"/>
  <c r="B113" i="7"/>
  <c r="F112" i="7"/>
  <c r="E112" i="7"/>
  <c r="B112" i="7"/>
  <c r="G111" i="7"/>
  <c r="F111" i="7"/>
  <c r="E111" i="7"/>
  <c r="D111" i="7"/>
  <c r="B111" i="7"/>
  <c r="B110" i="7"/>
  <c r="F105" i="7"/>
  <c r="D105" i="7"/>
  <c r="F104" i="7"/>
  <c r="D104" i="7"/>
  <c r="F103" i="7"/>
  <c r="D103" i="7"/>
  <c r="F102" i="7"/>
  <c r="D102" i="7"/>
  <c r="F101" i="7"/>
  <c r="D101" i="7"/>
  <c r="F100" i="7"/>
  <c r="D100" i="7"/>
  <c r="F99" i="7"/>
  <c r="D99" i="7"/>
  <c r="F98" i="7"/>
  <c r="D98" i="7"/>
  <c r="F97" i="7"/>
  <c r="D97" i="7"/>
  <c r="F96" i="7"/>
  <c r="E96" i="7"/>
  <c r="D96" i="7"/>
  <c r="F95" i="7"/>
  <c r="E95" i="7"/>
  <c r="D95" i="7"/>
  <c r="B95" i="7"/>
  <c r="F94" i="7"/>
  <c r="E94" i="7"/>
  <c r="D94" i="7"/>
  <c r="B94" i="7"/>
  <c r="F93" i="7"/>
  <c r="E93" i="7"/>
  <c r="D93" i="7"/>
  <c r="B93" i="7"/>
  <c r="F92" i="7"/>
  <c r="E92" i="7"/>
  <c r="D92" i="7"/>
  <c r="B92" i="7"/>
  <c r="G91" i="7"/>
  <c r="F91" i="7"/>
  <c r="E91" i="7"/>
  <c r="D91" i="7"/>
  <c r="B91" i="7"/>
  <c r="B90" i="7"/>
  <c r="F87" i="7"/>
  <c r="E87" i="7"/>
  <c r="D87" i="7"/>
  <c r="F86" i="7"/>
  <c r="E86" i="7"/>
  <c r="D86" i="7"/>
  <c r="F85" i="7"/>
  <c r="E85" i="7"/>
  <c r="D85" i="7"/>
  <c r="F84" i="7"/>
  <c r="E84" i="7"/>
  <c r="D84" i="7"/>
  <c r="F83" i="7"/>
  <c r="E83" i="7"/>
  <c r="D83" i="7"/>
  <c r="F82" i="7"/>
  <c r="E82" i="7"/>
  <c r="D82" i="7"/>
  <c r="F81" i="7"/>
  <c r="E81" i="7"/>
  <c r="D81" i="7"/>
  <c r="B81" i="7"/>
  <c r="F80" i="7"/>
  <c r="E80" i="7"/>
  <c r="D80" i="7"/>
  <c r="B80" i="7"/>
  <c r="F79" i="7"/>
  <c r="E79" i="7"/>
  <c r="D79" i="7"/>
  <c r="B79" i="7"/>
  <c r="F78" i="7"/>
  <c r="E78" i="7"/>
  <c r="D78" i="7"/>
  <c r="B78" i="7"/>
  <c r="F77" i="7"/>
  <c r="E77" i="7"/>
  <c r="D77" i="7"/>
  <c r="B77" i="7"/>
  <c r="F76" i="7"/>
  <c r="E76" i="7"/>
  <c r="D76" i="7"/>
  <c r="B76" i="7"/>
  <c r="G75" i="7"/>
  <c r="F75" i="7"/>
  <c r="E75" i="7"/>
  <c r="D75" i="7"/>
  <c r="B75" i="7"/>
  <c r="B74" i="7"/>
  <c r="F71" i="7"/>
  <c r="E71" i="7"/>
  <c r="D71" i="7"/>
  <c r="F70" i="7"/>
  <c r="E70" i="7"/>
  <c r="D70" i="7"/>
  <c r="F69" i="7"/>
  <c r="E69" i="7"/>
  <c r="D69" i="7"/>
  <c r="F68" i="7"/>
  <c r="E68" i="7"/>
  <c r="D68" i="7"/>
  <c r="F67" i="7"/>
  <c r="E67" i="7"/>
  <c r="D67" i="7"/>
  <c r="F66" i="7"/>
  <c r="E66" i="7"/>
  <c r="D66" i="7"/>
  <c r="F65" i="7"/>
  <c r="E65" i="7"/>
  <c r="D65" i="7"/>
  <c r="F64" i="7"/>
  <c r="E64" i="7"/>
  <c r="D64" i="7"/>
  <c r="F63" i="7"/>
  <c r="E63" i="7"/>
  <c r="D63" i="7"/>
  <c r="F62" i="7"/>
  <c r="E62" i="7"/>
  <c r="D62" i="7"/>
  <c r="F61" i="7"/>
  <c r="E61" i="7"/>
  <c r="D61" i="7"/>
  <c r="F60" i="7"/>
  <c r="E60" i="7"/>
  <c r="D60" i="7"/>
  <c r="F59" i="7"/>
  <c r="E59" i="7"/>
  <c r="D59" i="7"/>
  <c r="F58" i="7"/>
  <c r="E58" i="7"/>
  <c r="D58" i="7"/>
  <c r="F57" i="7"/>
  <c r="E57" i="7"/>
  <c r="D57" i="7"/>
  <c r="F56" i="7"/>
  <c r="E56" i="7"/>
  <c r="D56" i="7"/>
  <c r="F55" i="7"/>
  <c r="E55" i="7"/>
  <c r="D55" i="7"/>
  <c r="F54" i="7"/>
  <c r="E54" i="7"/>
  <c r="D54" i="7"/>
  <c r="F53" i="7"/>
  <c r="E53" i="7"/>
  <c r="D53" i="7"/>
  <c r="F52" i="7"/>
  <c r="E52" i="7"/>
  <c r="D52" i="7"/>
  <c r="F51" i="7"/>
  <c r="E51" i="7"/>
  <c r="D51" i="7"/>
  <c r="F50" i="7"/>
  <c r="E50" i="7"/>
  <c r="D50" i="7"/>
  <c r="F49" i="7"/>
  <c r="E49" i="7"/>
  <c r="D49" i="7"/>
  <c r="F48" i="7"/>
  <c r="E48" i="7"/>
  <c r="D48" i="7"/>
  <c r="B48" i="7"/>
  <c r="F47" i="7"/>
  <c r="E47" i="7"/>
  <c r="D47" i="7"/>
  <c r="B47" i="7"/>
  <c r="F46" i="7"/>
  <c r="E46" i="7"/>
  <c r="D46" i="7"/>
  <c r="B46" i="7"/>
  <c r="F45" i="7"/>
  <c r="E45" i="7"/>
  <c r="D45" i="7"/>
  <c r="B45" i="7"/>
  <c r="F44" i="7"/>
  <c r="E44" i="7"/>
  <c r="D44" i="7"/>
  <c r="B44" i="7"/>
  <c r="F43" i="7"/>
  <c r="E43" i="7"/>
  <c r="D43" i="7"/>
  <c r="B43" i="7"/>
  <c r="G42" i="7"/>
  <c r="F42" i="7"/>
  <c r="E42" i="7"/>
  <c r="D42" i="7"/>
  <c r="B42" i="7"/>
  <c r="B41" i="7"/>
  <c r="F37" i="7"/>
  <c r="E37" i="7"/>
  <c r="D37" i="7"/>
  <c r="C37" i="7"/>
  <c r="B37" i="7"/>
  <c r="F36" i="7"/>
  <c r="E36" i="7"/>
  <c r="D36" i="7"/>
  <c r="C36" i="7"/>
  <c r="F35" i="7"/>
  <c r="E35" i="7"/>
  <c r="D35" i="7"/>
  <c r="C35" i="7"/>
  <c r="F34" i="7"/>
  <c r="E34" i="7"/>
  <c r="D34" i="7"/>
  <c r="C34" i="7"/>
  <c r="F33" i="7"/>
  <c r="E33" i="7"/>
  <c r="D33" i="7"/>
  <c r="C33" i="7"/>
  <c r="F32" i="7"/>
  <c r="E32" i="7"/>
  <c r="D32" i="7"/>
  <c r="C32" i="7"/>
  <c r="F31" i="7"/>
  <c r="E31" i="7"/>
  <c r="D31" i="7"/>
  <c r="C31" i="7"/>
  <c r="F30" i="7"/>
  <c r="E30" i="7"/>
  <c r="D30" i="7"/>
  <c r="C30" i="7"/>
  <c r="F29" i="7"/>
  <c r="E29" i="7"/>
  <c r="D29" i="7"/>
  <c r="C29" i="7"/>
  <c r="B29" i="7"/>
  <c r="F28" i="7"/>
  <c r="E28" i="7"/>
  <c r="D28" i="7"/>
  <c r="C28" i="7"/>
  <c r="B28" i="7"/>
  <c r="F27" i="7"/>
  <c r="E27" i="7"/>
  <c r="D27" i="7"/>
  <c r="C27" i="7"/>
  <c r="B27" i="7"/>
  <c r="F26" i="7"/>
  <c r="E26" i="7"/>
  <c r="D26" i="7"/>
  <c r="C26" i="7"/>
  <c r="B26" i="7"/>
  <c r="F25" i="7"/>
  <c r="E25" i="7"/>
  <c r="D25" i="7"/>
  <c r="C25" i="7"/>
  <c r="B25" i="7"/>
  <c r="F24" i="7"/>
  <c r="E24" i="7"/>
  <c r="D24" i="7"/>
  <c r="C24" i="7"/>
  <c r="B24" i="7"/>
  <c r="F23" i="7"/>
  <c r="E23" i="7"/>
  <c r="D23" i="7"/>
  <c r="C23" i="7"/>
  <c r="B23" i="7"/>
  <c r="F22" i="7"/>
  <c r="E22" i="7"/>
  <c r="D22" i="7"/>
  <c r="C22" i="7"/>
  <c r="B22" i="7"/>
  <c r="F21" i="7"/>
  <c r="E21" i="7"/>
  <c r="D21" i="7"/>
  <c r="C21" i="7"/>
  <c r="B21" i="7"/>
  <c r="F20" i="7"/>
  <c r="E20" i="7"/>
  <c r="D20" i="7"/>
  <c r="C20" i="7"/>
  <c r="B20" i="7"/>
  <c r="F19" i="7"/>
  <c r="E19" i="7"/>
  <c r="D19" i="7"/>
  <c r="C19" i="7"/>
  <c r="B19" i="7"/>
  <c r="F18" i="7"/>
  <c r="E18" i="7"/>
  <c r="D18" i="7"/>
  <c r="C18" i="7"/>
  <c r="B18" i="7"/>
  <c r="F17" i="7"/>
  <c r="E17" i="7"/>
  <c r="D17" i="7"/>
  <c r="C17" i="7"/>
  <c r="B17" i="7"/>
  <c r="F16" i="7"/>
  <c r="E16" i="7"/>
  <c r="D16" i="7"/>
  <c r="C16" i="7"/>
  <c r="B16" i="7"/>
  <c r="F15" i="7"/>
  <c r="E15" i="7"/>
  <c r="D15" i="7"/>
  <c r="C15" i="7"/>
  <c r="B15" i="7"/>
  <c r="F14" i="7"/>
  <c r="E14" i="7"/>
  <c r="D14" i="7"/>
  <c r="C14" i="7"/>
  <c r="B14" i="7"/>
  <c r="F13" i="7"/>
  <c r="E13" i="7"/>
  <c r="D13" i="7"/>
  <c r="C13" i="7"/>
  <c r="B13" i="7"/>
  <c r="F12" i="7"/>
  <c r="E12" i="7"/>
  <c r="D12" i="7"/>
  <c r="C12" i="7"/>
  <c r="B12" i="7"/>
  <c r="G11" i="7"/>
  <c r="F11" i="7"/>
  <c r="E11" i="7"/>
  <c r="D11" i="7"/>
  <c r="C11" i="7"/>
  <c r="B11" i="7"/>
  <c r="B10" i="7"/>
  <c r="E8" i="7"/>
  <c r="D8" i="7"/>
  <c r="B8" i="7"/>
  <c r="G7" i="7"/>
  <c r="E7" i="7"/>
  <c r="D7" i="7"/>
  <c r="B7" i="7"/>
  <c r="B5" i="7"/>
  <c r="D2" i="7"/>
  <c r="A1" i="7"/>
  <c r="B149" i="6"/>
  <c r="G146" i="6"/>
  <c r="D146" i="6"/>
  <c r="B146" i="6"/>
  <c r="B138" i="6"/>
  <c r="B131" i="6"/>
  <c r="B124" i="6"/>
  <c r="B116" i="6"/>
  <c r="B109" i="6"/>
  <c r="B104" i="6"/>
  <c r="B102" i="6"/>
  <c r="B100" i="6"/>
  <c r="B98" i="6"/>
  <c r="B97" i="6"/>
  <c r="B96" i="6"/>
  <c r="B95" i="6"/>
  <c r="B94" i="6"/>
  <c r="B93" i="6"/>
  <c r="B92" i="6"/>
  <c r="B91" i="6"/>
  <c r="B90" i="6"/>
  <c r="B89" i="6"/>
  <c r="F88" i="6"/>
  <c r="E88" i="6"/>
  <c r="D88" i="6"/>
  <c r="C88" i="6"/>
  <c r="B88" i="6"/>
  <c r="F87" i="6"/>
  <c r="E87" i="6"/>
  <c r="D87" i="6"/>
  <c r="C87" i="6"/>
  <c r="B87" i="6"/>
  <c r="F86" i="6"/>
  <c r="E86" i="6"/>
  <c r="D86" i="6"/>
  <c r="C86" i="6"/>
  <c r="B86" i="6"/>
  <c r="F85" i="6"/>
  <c r="E85" i="6"/>
  <c r="D85" i="6"/>
  <c r="C85" i="6"/>
  <c r="B85" i="6"/>
  <c r="F84" i="6"/>
  <c r="E84" i="6"/>
  <c r="D84" i="6"/>
  <c r="C84" i="6"/>
  <c r="B84" i="6"/>
  <c r="E83" i="6"/>
  <c r="D83" i="6"/>
  <c r="C83" i="6"/>
  <c r="B83" i="6"/>
  <c r="E82" i="6"/>
  <c r="D82" i="6"/>
  <c r="C82" i="6"/>
  <c r="B82" i="6"/>
  <c r="B81" i="6"/>
  <c r="B80" i="6"/>
  <c r="B79" i="6"/>
  <c r="B78" i="6"/>
  <c r="B77" i="6"/>
  <c r="B76" i="6"/>
  <c r="B75" i="6"/>
  <c r="B74" i="6"/>
  <c r="B73" i="6"/>
  <c r="B72" i="6"/>
  <c r="F71" i="6"/>
  <c r="E71" i="6"/>
  <c r="D71" i="6"/>
  <c r="C71" i="6"/>
  <c r="B71" i="6"/>
  <c r="F70" i="6"/>
  <c r="E70" i="6"/>
  <c r="D70" i="6"/>
  <c r="C70" i="6"/>
  <c r="B70" i="6"/>
  <c r="F69" i="6"/>
  <c r="E69" i="6"/>
  <c r="D69" i="6"/>
  <c r="C69" i="6"/>
  <c r="B69" i="6"/>
  <c r="F68" i="6"/>
  <c r="E68" i="6"/>
  <c r="D68" i="6"/>
  <c r="C68" i="6"/>
  <c r="B68" i="6"/>
  <c r="F67" i="6"/>
  <c r="E67" i="6"/>
  <c r="D67" i="6"/>
  <c r="C67" i="6"/>
  <c r="B67" i="6"/>
  <c r="I66" i="6"/>
  <c r="H66" i="6"/>
  <c r="G66" i="6"/>
  <c r="F66" i="6"/>
  <c r="E66" i="6"/>
  <c r="D66" i="6"/>
  <c r="C66" i="6"/>
  <c r="B66" i="6"/>
  <c r="I65" i="6"/>
  <c r="H65" i="6"/>
  <c r="G65" i="6"/>
  <c r="F65" i="6"/>
  <c r="E65" i="6"/>
  <c r="D65" i="6"/>
  <c r="C65" i="6"/>
  <c r="B65" i="6"/>
  <c r="B64" i="6"/>
  <c r="B63" i="6"/>
  <c r="B62" i="6"/>
  <c r="B61" i="6"/>
  <c r="B60" i="6"/>
  <c r="B59" i="6"/>
  <c r="B58" i="6"/>
  <c r="B57" i="6"/>
  <c r="B56" i="6"/>
  <c r="B55" i="6"/>
  <c r="F54" i="6"/>
  <c r="E54" i="6"/>
  <c r="D54" i="6"/>
  <c r="C54" i="6"/>
  <c r="B54" i="6"/>
  <c r="F53" i="6"/>
  <c r="E53" i="6"/>
  <c r="D53" i="6"/>
  <c r="C53" i="6"/>
  <c r="B53" i="6"/>
  <c r="F52" i="6"/>
  <c r="E52" i="6"/>
  <c r="D52" i="6"/>
  <c r="C52" i="6"/>
  <c r="B52" i="6"/>
  <c r="F51" i="6"/>
  <c r="E51" i="6"/>
  <c r="D51" i="6"/>
  <c r="C51" i="6"/>
  <c r="B51" i="6"/>
  <c r="F50" i="6"/>
  <c r="E50" i="6"/>
  <c r="D50" i="6"/>
  <c r="C50" i="6"/>
  <c r="B50" i="6"/>
  <c r="I49" i="6"/>
  <c r="H49" i="6"/>
  <c r="G49" i="6"/>
  <c r="F49" i="6"/>
  <c r="E49" i="6"/>
  <c r="D49" i="6"/>
  <c r="C49" i="6"/>
  <c r="B49" i="6"/>
  <c r="I48" i="6"/>
  <c r="H48" i="6"/>
  <c r="G48" i="6"/>
  <c r="F48" i="6"/>
  <c r="E48" i="6"/>
  <c r="D48" i="6"/>
  <c r="C48" i="6"/>
  <c r="B48" i="6"/>
  <c r="B47" i="6"/>
  <c r="F44" i="6"/>
  <c r="E44" i="6"/>
  <c r="B44" i="6"/>
  <c r="F43" i="6"/>
  <c r="E43" i="6"/>
  <c r="B43" i="6"/>
  <c r="F42" i="6"/>
  <c r="E42" i="6"/>
  <c r="B42" i="6"/>
  <c r="F41" i="6"/>
  <c r="E41" i="6"/>
  <c r="B41" i="6"/>
  <c r="F40" i="6"/>
  <c r="E40" i="6"/>
  <c r="B40" i="6"/>
  <c r="F39" i="6"/>
  <c r="E39" i="6"/>
  <c r="B39" i="6"/>
  <c r="I38" i="6"/>
  <c r="H38" i="6"/>
  <c r="G38" i="6"/>
  <c r="F38" i="6"/>
  <c r="E38" i="6"/>
  <c r="D38" i="6"/>
  <c r="C38" i="6"/>
  <c r="B38" i="6"/>
  <c r="I37" i="6"/>
  <c r="H37" i="6"/>
  <c r="G37" i="6"/>
  <c r="F37" i="6"/>
  <c r="E37" i="6"/>
  <c r="D37" i="6"/>
  <c r="C37" i="6"/>
  <c r="B37" i="6"/>
  <c r="I36" i="6"/>
  <c r="H36" i="6"/>
  <c r="G36" i="6"/>
  <c r="F36" i="6"/>
  <c r="E36" i="6"/>
  <c r="D36" i="6"/>
  <c r="C36" i="6"/>
  <c r="B36" i="6"/>
  <c r="I35" i="6"/>
  <c r="H35" i="6"/>
  <c r="G35" i="6"/>
  <c r="F35" i="6"/>
  <c r="E35" i="6"/>
  <c r="D35" i="6"/>
  <c r="C35" i="6"/>
  <c r="B35" i="6"/>
  <c r="I34" i="6"/>
  <c r="H34" i="6"/>
  <c r="G34" i="6"/>
  <c r="F34" i="6"/>
  <c r="E34" i="6"/>
  <c r="D34" i="6"/>
  <c r="C34" i="6"/>
  <c r="B34" i="6"/>
  <c r="I33" i="6"/>
  <c r="H33" i="6"/>
  <c r="G33" i="6"/>
  <c r="F33" i="6"/>
  <c r="E33" i="6"/>
  <c r="D33" i="6"/>
  <c r="C33" i="6"/>
  <c r="B33" i="6"/>
  <c r="I32" i="6"/>
  <c r="H32" i="6"/>
  <c r="G32" i="6"/>
  <c r="F32" i="6"/>
  <c r="E32" i="6"/>
  <c r="D32" i="6"/>
  <c r="C32" i="6"/>
  <c r="B32" i="6"/>
  <c r="I31" i="6"/>
  <c r="H31" i="6"/>
  <c r="G31" i="6"/>
  <c r="F31" i="6"/>
  <c r="E31" i="6"/>
  <c r="D31" i="6"/>
  <c r="C31" i="6"/>
  <c r="B31" i="6"/>
  <c r="I30" i="6"/>
  <c r="H30" i="6"/>
  <c r="G30" i="6"/>
  <c r="F30" i="6"/>
  <c r="E30" i="6"/>
  <c r="D30" i="6"/>
  <c r="C30" i="6"/>
  <c r="B30" i="6"/>
  <c r="I29" i="6"/>
  <c r="H29" i="6"/>
  <c r="G29" i="6"/>
  <c r="F29" i="6"/>
  <c r="E29" i="6"/>
  <c r="D29" i="6"/>
  <c r="C29" i="6"/>
  <c r="B29" i="6"/>
  <c r="I28" i="6"/>
  <c r="H28" i="6"/>
  <c r="G28" i="6"/>
  <c r="F28" i="6"/>
  <c r="E28" i="6"/>
  <c r="D28" i="6"/>
  <c r="C28" i="6"/>
  <c r="B28" i="6"/>
  <c r="B27" i="6"/>
  <c r="C23" i="6"/>
  <c r="B23" i="6"/>
  <c r="C22" i="6"/>
  <c r="B22" i="6"/>
  <c r="C21" i="6"/>
  <c r="B21" i="6"/>
  <c r="C20" i="6"/>
  <c r="B20" i="6"/>
  <c r="C19" i="6"/>
  <c r="B19" i="6"/>
  <c r="C18" i="6"/>
  <c r="B18" i="6"/>
  <c r="C17" i="6"/>
  <c r="B17" i="6"/>
  <c r="C16" i="6"/>
  <c r="B16" i="6"/>
  <c r="C15" i="6"/>
  <c r="B15" i="6"/>
  <c r="C14" i="6"/>
  <c r="B14" i="6"/>
  <c r="D13" i="6"/>
  <c r="C13" i="6"/>
  <c r="B13" i="6"/>
  <c r="B12" i="6"/>
  <c r="I10" i="6"/>
  <c r="G10" i="6"/>
  <c r="E10" i="6"/>
  <c r="C10" i="6"/>
  <c r="B10" i="6"/>
  <c r="I9" i="6"/>
  <c r="G9" i="6"/>
  <c r="F9" i="6"/>
  <c r="E9" i="6"/>
  <c r="C9" i="6"/>
  <c r="B9" i="6"/>
  <c r="F8" i="6"/>
  <c r="E8" i="6"/>
  <c r="C8" i="6"/>
  <c r="B8" i="6"/>
  <c r="B7" i="6"/>
  <c r="B4" i="6"/>
  <c r="B3" i="6"/>
  <c r="B2" i="6"/>
  <c r="A1" i="6"/>
  <c r="E240" i="5"/>
  <c r="E239" i="5"/>
  <c r="E238" i="5"/>
  <c r="E237" i="5"/>
  <c r="E236" i="5"/>
  <c r="E235" i="5"/>
  <c r="J234" i="5"/>
  <c r="I234" i="5"/>
  <c r="H234" i="5"/>
  <c r="G234" i="5"/>
  <c r="F234" i="5"/>
  <c r="E234" i="5"/>
  <c r="J233" i="5"/>
  <c r="I233" i="5"/>
  <c r="H233" i="5"/>
  <c r="G233" i="5"/>
  <c r="F233" i="5"/>
  <c r="E233" i="5"/>
  <c r="J232" i="5"/>
  <c r="I232" i="5"/>
  <c r="H232" i="5"/>
  <c r="G232" i="5"/>
  <c r="F232" i="5"/>
  <c r="E232" i="5"/>
  <c r="J231" i="5"/>
  <c r="I231" i="5"/>
  <c r="H231" i="5"/>
  <c r="G231" i="5"/>
  <c r="F231" i="5"/>
  <c r="E231" i="5"/>
  <c r="J230" i="5"/>
  <c r="I230" i="5"/>
  <c r="H230" i="5"/>
  <c r="G230" i="5"/>
  <c r="F230" i="5"/>
  <c r="E230" i="5"/>
  <c r="J229" i="5"/>
  <c r="I229" i="5"/>
  <c r="H229" i="5"/>
  <c r="G229" i="5"/>
  <c r="F229" i="5"/>
  <c r="E229" i="5"/>
  <c r="J228" i="5"/>
  <c r="I228" i="5"/>
  <c r="H228" i="5"/>
  <c r="G228" i="5"/>
  <c r="F228" i="5"/>
  <c r="E228" i="5"/>
  <c r="J227" i="5"/>
  <c r="I227" i="5"/>
  <c r="H227" i="5"/>
  <c r="G227" i="5"/>
  <c r="F227" i="5"/>
  <c r="E227" i="5"/>
  <c r="J226" i="5"/>
  <c r="I226" i="5"/>
  <c r="H226" i="5"/>
  <c r="G226" i="5"/>
  <c r="F226" i="5"/>
  <c r="E226" i="5"/>
  <c r="J225" i="5"/>
  <c r="I225" i="5"/>
  <c r="H225" i="5"/>
  <c r="G225" i="5"/>
  <c r="F225" i="5"/>
  <c r="E225" i="5"/>
  <c r="J224" i="5"/>
  <c r="I224" i="5"/>
  <c r="H224" i="5"/>
  <c r="G224" i="5"/>
  <c r="F224" i="5"/>
  <c r="E224" i="5"/>
  <c r="T223" i="5"/>
  <c r="S223" i="5"/>
  <c r="R223" i="5"/>
  <c r="Q223" i="5"/>
  <c r="P223" i="5"/>
  <c r="O223" i="5"/>
  <c r="N223" i="5"/>
  <c r="M223" i="5"/>
  <c r="L223" i="5"/>
  <c r="K223" i="5"/>
  <c r="J223" i="5"/>
  <c r="I223" i="5"/>
  <c r="H223" i="5"/>
  <c r="G223" i="5"/>
  <c r="F223" i="5"/>
  <c r="E223" i="5"/>
  <c r="D223" i="5"/>
  <c r="AN221" i="5"/>
  <c r="AK221" i="5"/>
  <c r="AH221" i="5"/>
  <c r="AE221" i="5"/>
  <c r="AB221" i="5"/>
  <c r="Y221" i="5"/>
  <c r="V221" i="5"/>
  <c r="S221" i="5"/>
  <c r="P221" i="5"/>
  <c r="M221" i="5"/>
  <c r="K221" i="5"/>
  <c r="D221" i="5"/>
  <c r="B221" i="5"/>
  <c r="AN220" i="5"/>
  <c r="AK220" i="5"/>
  <c r="AH220" i="5"/>
  <c r="AE220" i="5"/>
  <c r="AB220" i="5"/>
  <c r="Y220" i="5"/>
  <c r="V220" i="5"/>
  <c r="S220" i="5"/>
  <c r="P220" i="5"/>
  <c r="M220" i="5"/>
  <c r="K220" i="5"/>
  <c r="D220" i="5"/>
  <c r="B220" i="5"/>
  <c r="AN219" i="5"/>
  <c r="AK219" i="5"/>
  <c r="AH219" i="5"/>
  <c r="AE219" i="5"/>
  <c r="AB219" i="5"/>
  <c r="Y219" i="5"/>
  <c r="V219" i="5"/>
  <c r="S219" i="5"/>
  <c r="P219" i="5"/>
  <c r="M219" i="5"/>
  <c r="K219" i="5"/>
  <c r="D219" i="5"/>
  <c r="B219" i="5"/>
  <c r="BF218" i="5"/>
  <c r="BC218" i="5"/>
  <c r="AZ218" i="5"/>
  <c r="AW218" i="5"/>
  <c r="AT218" i="5"/>
  <c r="AQ218" i="5"/>
  <c r="AN218" i="5"/>
  <c r="AK218" i="5"/>
  <c r="AH218" i="5"/>
  <c r="AE218" i="5"/>
  <c r="AB218" i="5"/>
  <c r="Y218" i="5"/>
  <c r="V218" i="5"/>
  <c r="S218" i="5"/>
  <c r="P218" i="5"/>
  <c r="M218" i="5"/>
  <c r="K218" i="5"/>
  <c r="D218" i="5"/>
  <c r="B218" i="5"/>
  <c r="BF217" i="5"/>
  <c r="BC217" i="5"/>
  <c r="AZ217" i="5"/>
  <c r="AW217" i="5"/>
  <c r="AT217" i="5"/>
  <c r="AQ217" i="5"/>
  <c r="AN217" i="5"/>
  <c r="AK217" i="5"/>
  <c r="AH217" i="5"/>
  <c r="AE217" i="5"/>
  <c r="AB217" i="5"/>
  <c r="Y217" i="5"/>
  <c r="V217" i="5"/>
  <c r="S217" i="5"/>
  <c r="P217" i="5"/>
  <c r="M217" i="5"/>
  <c r="K217" i="5"/>
  <c r="D217" i="5"/>
  <c r="B217" i="5"/>
  <c r="BF216" i="5"/>
  <c r="BC216" i="5"/>
  <c r="AZ216" i="5"/>
  <c r="AW216" i="5"/>
  <c r="AT216" i="5"/>
  <c r="AQ216" i="5"/>
  <c r="AN216" i="5"/>
  <c r="AK216" i="5"/>
  <c r="AH216" i="5"/>
  <c r="AE216" i="5"/>
  <c r="AB216" i="5"/>
  <c r="Y216" i="5"/>
  <c r="V216" i="5"/>
  <c r="S216" i="5"/>
  <c r="P216" i="5"/>
  <c r="M216" i="5"/>
  <c r="K216" i="5"/>
  <c r="D216" i="5"/>
  <c r="B216" i="5"/>
  <c r="BG215" i="5"/>
  <c r="BF215" i="5"/>
  <c r="BD215" i="5"/>
  <c r="BC215" i="5"/>
  <c r="BA215" i="5"/>
  <c r="AZ215" i="5"/>
  <c r="AX215" i="5"/>
  <c r="AW215" i="5"/>
  <c r="AU215" i="5"/>
  <c r="AT215" i="5"/>
  <c r="AR215" i="5"/>
  <c r="AQ215" i="5"/>
  <c r="AO215" i="5"/>
  <c r="AN215" i="5"/>
  <c r="AL215" i="5"/>
  <c r="AK215" i="5"/>
  <c r="AI215" i="5"/>
  <c r="AH215" i="5"/>
  <c r="AF215" i="5"/>
  <c r="AE215" i="5"/>
  <c r="AC215" i="5"/>
  <c r="AB215" i="5"/>
  <c r="Z215" i="5"/>
  <c r="Y215" i="5"/>
  <c r="W215" i="5"/>
  <c r="V215" i="5"/>
  <c r="T215" i="5"/>
  <c r="S215" i="5"/>
  <c r="Q215" i="5"/>
  <c r="P215" i="5"/>
  <c r="N215" i="5"/>
  <c r="M215" i="5"/>
  <c r="K215" i="5"/>
  <c r="D215" i="5"/>
  <c r="B215" i="5"/>
  <c r="BG214" i="5"/>
  <c r="BF214" i="5"/>
  <c r="BD214" i="5"/>
  <c r="BC214" i="5"/>
  <c r="BA214" i="5"/>
  <c r="AZ214" i="5"/>
  <c r="AX214" i="5"/>
  <c r="AW214" i="5"/>
  <c r="AU214" i="5"/>
  <c r="AT214" i="5"/>
  <c r="AR214" i="5"/>
  <c r="AQ214" i="5"/>
  <c r="AO214" i="5"/>
  <c r="AN214" i="5"/>
  <c r="AL214" i="5"/>
  <c r="AK214" i="5"/>
  <c r="AI214" i="5"/>
  <c r="AH214" i="5"/>
  <c r="AF214" i="5"/>
  <c r="AE214" i="5"/>
  <c r="AC214" i="5"/>
  <c r="AB214" i="5"/>
  <c r="Z214" i="5"/>
  <c r="Y214" i="5"/>
  <c r="W214" i="5"/>
  <c r="V214" i="5"/>
  <c r="T214" i="5"/>
  <c r="S214" i="5"/>
  <c r="Q214" i="5"/>
  <c r="P214" i="5"/>
  <c r="N214" i="5"/>
  <c r="M214" i="5"/>
  <c r="K214" i="5"/>
  <c r="D214" i="5"/>
  <c r="B214" i="5"/>
  <c r="AO213" i="5"/>
  <c r="AN213" i="5"/>
  <c r="AL213" i="5"/>
  <c r="AK213" i="5"/>
  <c r="AI213" i="5"/>
  <c r="AH213" i="5"/>
  <c r="AF213" i="5"/>
  <c r="AE213" i="5"/>
  <c r="AC213" i="5"/>
  <c r="AB213" i="5"/>
  <c r="Z213" i="5"/>
  <c r="Y213" i="5"/>
  <c r="W213" i="5"/>
  <c r="V213" i="5"/>
  <c r="T213" i="5"/>
  <c r="S213" i="5"/>
  <c r="Q213" i="5"/>
  <c r="P213" i="5"/>
  <c r="N213" i="5"/>
  <c r="M213" i="5"/>
  <c r="K213" i="5"/>
  <c r="D213" i="5"/>
  <c r="B213" i="5"/>
  <c r="AO212" i="5"/>
  <c r="AN212" i="5"/>
  <c r="AL212" i="5"/>
  <c r="AK212" i="5"/>
  <c r="AI212" i="5"/>
  <c r="AH212" i="5"/>
  <c r="AF212" i="5"/>
  <c r="AE212" i="5"/>
  <c r="AC212" i="5"/>
  <c r="AB212" i="5"/>
  <c r="Z212" i="5"/>
  <c r="Y212" i="5"/>
  <c r="W212" i="5"/>
  <c r="V212" i="5"/>
  <c r="T212" i="5"/>
  <c r="S212" i="5"/>
  <c r="Q212" i="5"/>
  <c r="P212" i="5"/>
  <c r="N212" i="5"/>
  <c r="M212" i="5"/>
  <c r="K212" i="5"/>
  <c r="D212" i="5"/>
  <c r="B212" i="5"/>
  <c r="BG211" i="5"/>
  <c r="BD211" i="5"/>
  <c r="BA211" i="5"/>
  <c r="AX211" i="5"/>
  <c r="AU211" i="5"/>
  <c r="AR211" i="5"/>
  <c r="AO211" i="5"/>
  <c r="AN211" i="5"/>
  <c r="AL211" i="5"/>
  <c r="AK211" i="5"/>
  <c r="AI211" i="5"/>
  <c r="AH211" i="5"/>
  <c r="AF211" i="5"/>
  <c r="AE211" i="5"/>
  <c r="AC211" i="5"/>
  <c r="AB211" i="5"/>
  <c r="Z211" i="5"/>
  <c r="Y211" i="5"/>
  <c r="W211" i="5"/>
  <c r="V211" i="5"/>
  <c r="T211" i="5"/>
  <c r="S211" i="5"/>
  <c r="Q211" i="5"/>
  <c r="P211" i="5"/>
  <c r="N211" i="5"/>
  <c r="M211" i="5"/>
  <c r="K211" i="5"/>
  <c r="D211" i="5"/>
  <c r="B211" i="5"/>
  <c r="BE210" i="5"/>
  <c r="BB210" i="5"/>
  <c r="AY210" i="5"/>
  <c r="AV210" i="5"/>
  <c r="AS210" i="5"/>
  <c r="AP210" i="5"/>
  <c r="AO210" i="5"/>
  <c r="AN210" i="5"/>
  <c r="AM210" i="5"/>
  <c r="AL210" i="5"/>
  <c r="AK210" i="5"/>
  <c r="AJ210" i="5"/>
  <c r="AI210" i="5"/>
  <c r="AH210" i="5"/>
  <c r="AG210" i="5"/>
  <c r="AF210" i="5"/>
  <c r="AE210" i="5"/>
  <c r="AD210" i="5"/>
  <c r="AC210" i="5"/>
  <c r="AB210" i="5"/>
  <c r="AA210" i="5"/>
  <c r="Z210" i="5"/>
  <c r="Y210" i="5"/>
  <c r="X210" i="5"/>
  <c r="W210" i="5"/>
  <c r="V210" i="5"/>
  <c r="U210" i="5"/>
  <c r="T210" i="5"/>
  <c r="S210" i="5"/>
  <c r="R210" i="5"/>
  <c r="Q210" i="5"/>
  <c r="P210" i="5"/>
  <c r="O210" i="5"/>
  <c r="N210" i="5"/>
  <c r="M210" i="5"/>
  <c r="L210" i="5"/>
  <c r="K210" i="5"/>
  <c r="D210" i="5"/>
  <c r="B210" i="5"/>
  <c r="BH208" i="5"/>
  <c r="BE208" i="5"/>
  <c r="BB208" i="5"/>
  <c r="AY208" i="5"/>
  <c r="AV208" i="5"/>
  <c r="AS208" i="5"/>
  <c r="AP208" i="5"/>
  <c r="AM208" i="5"/>
  <c r="AJ208" i="5"/>
  <c r="AG208" i="5"/>
  <c r="AD208" i="5"/>
  <c r="AA208" i="5"/>
  <c r="X208" i="5"/>
  <c r="U208" i="5"/>
  <c r="R208" i="5"/>
  <c r="O208" i="5"/>
  <c r="L208" i="5"/>
  <c r="K208" i="5"/>
  <c r="I208" i="5"/>
  <c r="H208" i="5"/>
  <c r="G208" i="5"/>
  <c r="BH207" i="5"/>
  <c r="BE207" i="5"/>
  <c r="BB207" i="5"/>
  <c r="AY207" i="5"/>
  <c r="AV207" i="5"/>
  <c r="AS207" i="5"/>
  <c r="AP207" i="5"/>
  <c r="AM207" i="5"/>
  <c r="AJ207" i="5"/>
  <c r="AG207" i="5"/>
  <c r="AD207" i="5"/>
  <c r="AA207" i="5"/>
  <c r="X207" i="5"/>
  <c r="U207" i="5"/>
  <c r="R207" i="5"/>
  <c r="O207" i="5"/>
  <c r="L207" i="5"/>
  <c r="K207" i="5"/>
  <c r="I207" i="5"/>
  <c r="H207" i="5"/>
  <c r="G207" i="5"/>
  <c r="BH206" i="5"/>
  <c r="BE206" i="5"/>
  <c r="BB206" i="5"/>
  <c r="AY206" i="5"/>
  <c r="AV206" i="5"/>
  <c r="AS206" i="5"/>
  <c r="AP206" i="5"/>
  <c r="AM206" i="5"/>
  <c r="AJ206" i="5"/>
  <c r="AG206" i="5"/>
  <c r="AD206" i="5"/>
  <c r="AA206" i="5"/>
  <c r="X206" i="5"/>
  <c r="U206" i="5"/>
  <c r="R206" i="5"/>
  <c r="O206" i="5"/>
  <c r="L206" i="5"/>
  <c r="K206" i="5"/>
  <c r="I206" i="5"/>
  <c r="H206" i="5"/>
  <c r="G206" i="5"/>
  <c r="BH205" i="5"/>
  <c r="BE205" i="5"/>
  <c r="BB205" i="5"/>
  <c r="AY205" i="5"/>
  <c r="AV205" i="5"/>
  <c r="AS205" i="5"/>
  <c r="AP205" i="5"/>
  <c r="AM205" i="5"/>
  <c r="AJ205" i="5"/>
  <c r="AG205" i="5"/>
  <c r="AD205" i="5"/>
  <c r="AA205" i="5"/>
  <c r="X205" i="5"/>
  <c r="U205" i="5"/>
  <c r="R205" i="5"/>
  <c r="O205" i="5"/>
  <c r="L205" i="5"/>
  <c r="K205" i="5"/>
  <c r="I205" i="5"/>
  <c r="H205" i="5"/>
  <c r="G205" i="5"/>
  <c r="BH204" i="5"/>
  <c r="BE204" i="5"/>
  <c r="BB204" i="5"/>
  <c r="AY204" i="5"/>
  <c r="AV204" i="5"/>
  <c r="AS204" i="5"/>
  <c r="AP204" i="5"/>
  <c r="AM204" i="5"/>
  <c r="AJ204" i="5"/>
  <c r="AG204" i="5"/>
  <c r="AD204" i="5"/>
  <c r="AA204" i="5"/>
  <c r="X204" i="5"/>
  <c r="U204" i="5"/>
  <c r="R204" i="5"/>
  <c r="O204" i="5"/>
  <c r="L204" i="5"/>
  <c r="K204" i="5"/>
  <c r="I204" i="5"/>
  <c r="H204" i="5"/>
  <c r="G204" i="5"/>
  <c r="BH203" i="5"/>
  <c r="BE203" i="5"/>
  <c r="BB203" i="5"/>
  <c r="AY203" i="5"/>
  <c r="AV203" i="5"/>
  <c r="AS203" i="5"/>
  <c r="AP203" i="5"/>
  <c r="AM203" i="5"/>
  <c r="AJ203" i="5"/>
  <c r="AG203" i="5"/>
  <c r="AD203" i="5"/>
  <c r="AA203" i="5"/>
  <c r="X203" i="5"/>
  <c r="U203" i="5"/>
  <c r="R203" i="5"/>
  <c r="O203" i="5"/>
  <c r="L203" i="5"/>
  <c r="K203" i="5"/>
  <c r="I203" i="5"/>
  <c r="H203" i="5"/>
  <c r="G203" i="5"/>
  <c r="BH202" i="5"/>
  <c r="BE202" i="5"/>
  <c r="BB202" i="5"/>
  <c r="AY202" i="5"/>
  <c r="AV202" i="5"/>
  <c r="AS202" i="5"/>
  <c r="AP202" i="5"/>
  <c r="AM202" i="5"/>
  <c r="AJ202" i="5"/>
  <c r="AG202" i="5"/>
  <c r="AD202" i="5"/>
  <c r="AA202" i="5"/>
  <c r="X202" i="5"/>
  <c r="U202" i="5"/>
  <c r="R202" i="5"/>
  <c r="O202" i="5"/>
  <c r="L202" i="5"/>
  <c r="K202" i="5"/>
  <c r="I202" i="5"/>
  <c r="H202" i="5"/>
  <c r="G202" i="5"/>
  <c r="BH201" i="5"/>
  <c r="BE201" i="5"/>
  <c r="BB201" i="5"/>
  <c r="AY201" i="5"/>
  <c r="AV201" i="5"/>
  <c r="AS201" i="5"/>
  <c r="AP201" i="5"/>
  <c r="AM201" i="5"/>
  <c r="AJ201" i="5"/>
  <c r="AG201" i="5"/>
  <c r="AD201" i="5"/>
  <c r="AA201" i="5"/>
  <c r="X201" i="5"/>
  <c r="U201" i="5"/>
  <c r="R201" i="5"/>
  <c r="O201" i="5"/>
  <c r="L201" i="5"/>
  <c r="K201" i="5"/>
  <c r="I201" i="5"/>
  <c r="H201" i="5"/>
  <c r="G201" i="5"/>
  <c r="BH200" i="5"/>
  <c r="BE200" i="5"/>
  <c r="BB200" i="5"/>
  <c r="AY200" i="5"/>
  <c r="AV200" i="5"/>
  <c r="AS200" i="5"/>
  <c r="AP200" i="5"/>
  <c r="AM200" i="5"/>
  <c r="AJ200" i="5"/>
  <c r="AG200" i="5"/>
  <c r="AD200" i="5"/>
  <c r="AA200" i="5"/>
  <c r="X200" i="5"/>
  <c r="U200" i="5"/>
  <c r="R200" i="5"/>
  <c r="O200" i="5"/>
  <c r="L200" i="5"/>
  <c r="K200" i="5"/>
  <c r="I200" i="5"/>
  <c r="H200" i="5"/>
  <c r="G200" i="5"/>
  <c r="BH199" i="5"/>
  <c r="BE199" i="5"/>
  <c r="BB199" i="5"/>
  <c r="AY199" i="5"/>
  <c r="AV199" i="5"/>
  <c r="AS199" i="5"/>
  <c r="AP199" i="5"/>
  <c r="AM199" i="5"/>
  <c r="AJ199" i="5"/>
  <c r="AG199" i="5"/>
  <c r="AD199" i="5"/>
  <c r="AA199" i="5"/>
  <c r="X199" i="5"/>
  <c r="U199" i="5"/>
  <c r="R199" i="5"/>
  <c r="O199" i="5"/>
  <c r="L199" i="5"/>
  <c r="K199" i="5"/>
  <c r="I199" i="5"/>
  <c r="H199" i="5"/>
  <c r="G199" i="5"/>
  <c r="BH198" i="5"/>
  <c r="BE198" i="5"/>
  <c r="BB198" i="5"/>
  <c r="AY198" i="5"/>
  <c r="AV198" i="5"/>
  <c r="AS198" i="5"/>
  <c r="AP198" i="5"/>
  <c r="AM198" i="5"/>
  <c r="AJ198" i="5"/>
  <c r="AG198" i="5"/>
  <c r="AD198" i="5"/>
  <c r="AA198" i="5"/>
  <c r="X198" i="5"/>
  <c r="U198" i="5"/>
  <c r="R198" i="5"/>
  <c r="O198" i="5"/>
  <c r="L198" i="5"/>
  <c r="K198" i="5"/>
  <c r="I198" i="5"/>
  <c r="H198" i="5"/>
  <c r="G198" i="5"/>
  <c r="BH197" i="5"/>
  <c r="BE197" i="5"/>
  <c r="BB197" i="5"/>
  <c r="AY197" i="5"/>
  <c r="AV197" i="5"/>
  <c r="AS197" i="5"/>
  <c r="AP197" i="5"/>
  <c r="AM197" i="5"/>
  <c r="AJ197" i="5"/>
  <c r="AG197" i="5"/>
  <c r="AD197" i="5"/>
  <c r="AA197" i="5"/>
  <c r="X197" i="5"/>
  <c r="U197" i="5"/>
  <c r="R197" i="5"/>
  <c r="O197" i="5"/>
  <c r="L197" i="5"/>
  <c r="K197" i="5"/>
  <c r="I197" i="5"/>
  <c r="H197" i="5"/>
  <c r="G197" i="5"/>
  <c r="BH196" i="5"/>
  <c r="BE196" i="5"/>
  <c r="BB196" i="5"/>
  <c r="AY196" i="5"/>
  <c r="AV196" i="5"/>
  <c r="AS196" i="5"/>
  <c r="AP196" i="5"/>
  <c r="AM196" i="5"/>
  <c r="AJ196" i="5"/>
  <c r="AG196" i="5"/>
  <c r="AD196" i="5"/>
  <c r="AA196" i="5"/>
  <c r="X196" i="5"/>
  <c r="U196" i="5"/>
  <c r="R196" i="5"/>
  <c r="O196" i="5"/>
  <c r="L196" i="5"/>
  <c r="K196" i="5"/>
  <c r="I196" i="5"/>
  <c r="H196" i="5"/>
  <c r="G196" i="5"/>
  <c r="BH195" i="5"/>
  <c r="BE195" i="5"/>
  <c r="BB195" i="5"/>
  <c r="AY195" i="5"/>
  <c r="AV195" i="5"/>
  <c r="AS195" i="5"/>
  <c r="AP195" i="5"/>
  <c r="AM195" i="5"/>
  <c r="AJ195" i="5"/>
  <c r="AG195" i="5"/>
  <c r="AD195" i="5"/>
  <c r="AA195" i="5"/>
  <c r="X195" i="5"/>
  <c r="U195" i="5"/>
  <c r="R195" i="5"/>
  <c r="O195" i="5"/>
  <c r="L195" i="5"/>
  <c r="K195" i="5"/>
  <c r="I195" i="5"/>
  <c r="H195" i="5"/>
  <c r="G195" i="5"/>
  <c r="BH194" i="5"/>
  <c r="BE194" i="5"/>
  <c r="BB194" i="5"/>
  <c r="AY194" i="5"/>
  <c r="AV194" i="5"/>
  <c r="AS194" i="5"/>
  <c r="AP194" i="5"/>
  <c r="AM194" i="5"/>
  <c r="AJ194" i="5"/>
  <c r="AG194" i="5"/>
  <c r="AD194" i="5"/>
  <c r="AA194" i="5"/>
  <c r="X194" i="5"/>
  <c r="U194" i="5"/>
  <c r="R194" i="5"/>
  <c r="O194" i="5"/>
  <c r="L194" i="5"/>
  <c r="K194" i="5"/>
  <c r="I194" i="5"/>
  <c r="H194" i="5"/>
  <c r="G194" i="5"/>
  <c r="BH193" i="5"/>
  <c r="BE193" i="5"/>
  <c r="BB193" i="5"/>
  <c r="AY193" i="5"/>
  <c r="AV193" i="5"/>
  <c r="AS193" i="5"/>
  <c r="AP193" i="5"/>
  <c r="AM193" i="5"/>
  <c r="AJ193" i="5"/>
  <c r="AG193" i="5"/>
  <c r="AD193" i="5"/>
  <c r="AA193" i="5"/>
  <c r="X193" i="5"/>
  <c r="U193" i="5"/>
  <c r="R193" i="5"/>
  <c r="O193" i="5"/>
  <c r="L193" i="5"/>
  <c r="K193" i="5"/>
  <c r="I193" i="5"/>
  <c r="H193" i="5"/>
  <c r="G193" i="5"/>
  <c r="BH192" i="5"/>
  <c r="BE192" i="5"/>
  <c r="BB192" i="5"/>
  <c r="AY192" i="5"/>
  <c r="AV192" i="5"/>
  <c r="AS192" i="5"/>
  <c r="AP192" i="5"/>
  <c r="AM192" i="5"/>
  <c r="AJ192" i="5"/>
  <c r="AG192" i="5"/>
  <c r="AD192" i="5"/>
  <c r="AA192" i="5"/>
  <c r="X192" i="5"/>
  <c r="U192" i="5"/>
  <c r="R192" i="5"/>
  <c r="O192" i="5"/>
  <c r="L192" i="5"/>
  <c r="K192" i="5"/>
  <c r="I192" i="5"/>
  <c r="H192" i="5"/>
  <c r="G192" i="5"/>
  <c r="BH191" i="5"/>
  <c r="BE191" i="5"/>
  <c r="BB191" i="5"/>
  <c r="AY191" i="5"/>
  <c r="AV191" i="5"/>
  <c r="AS191" i="5"/>
  <c r="AP191" i="5"/>
  <c r="AM191" i="5"/>
  <c r="AJ191" i="5"/>
  <c r="AG191" i="5"/>
  <c r="AD191" i="5"/>
  <c r="AA191" i="5"/>
  <c r="X191" i="5"/>
  <c r="U191" i="5"/>
  <c r="R191" i="5"/>
  <c r="O191" i="5"/>
  <c r="L191" i="5"/>
  <c r="K191" i="5"/>
  <c r="I191" i="5"/>
  <c r="H191" i="5"/>
  <c r="G191" i="5"/>
  <c r="BH190" i="5"/>
  <c r="BE190" i="5"/>
  <c r="BB190" i="5"/>
  <c r="AY190" i="5"/>
  <c r="AV190" i="5"/>
  <c r="AS190" i="5"/>
  <c r="AP190" i="5"/>
  <c r="AM190" i="5"/>
  <c r="AJ190" i="5"/>
  <c r="AG190" i="5"/>
  <c r="AD190" i="5"/>
  <c r="AA190" i="5"/>
  <c r="X190" i="5"/>
  <c r="U190" i="5"/>
  <c r="R190" i="5"/>
  <c r="O190" i="5"/>
  <c r="L190" i="5"/>
  <c r="K190" i="5"/>
  <c r="I190" i="5"/>
  <c r="H190" i="5"/>
  <c r="G190" i="5"/>
  <c r="BH189" i="5"/>
  <c r="BE189" i="5"/>
  <c r="BB189" i="5"/>
  <c r="AY189" i="5"/>
  <c r="AV189" i="5"/>
  <c r="AS189" i="5"/>
  <c r="AP189" i="5"/>
  <c r="AM189" i="5"/>
  <c r="AJ189" i="5"/>
  <c r="AG189" i="5"/>
  <c r="AD189" i="5"/>
  <c r="AA189" i="5"/>
  <c r="X189" i="5"/>
  <c r="U189" i="5"/>
  <c r="R189" i="5"/>
  <c r="O189" i="5"/>
  <c r="L189" i="5"/>
  <c r="K189" i="5"/>
  <c r="I189" i="5"/>
  <c r="H189" i="5"/>
  <c r="G189" i="5"/>
  <c r="BH188" i="5"/>
  <c r="BE188" i="5"/>
  <c r="BB188" i="5"/>
  <c r="AY188" i="5"/>
  <c r="AV188" i="5"/>
  <c r="AS188" i="5"/>
  <c r="AP188" i="5"/>
  <c r="AM188" i="5"/>
  <c r="AJ188" i="5"/>
  <c r="AG188" i="5"/>
  <c r="AD188" i="5"/>
  <c r="AA188" i="5"/>
  <c r="X188" i="5"/>
  <c r="U188" i="5"/>
  <c r="R188" i="5"/>
  <c r="O188" i="5"/>
  <c r="L188" i="5"/>
  <c r="K188" i="5"/>
  <c r="I188" i="5"/>
  <c r="H188" i="5"/>
  <c r="G188" i="5"/>
  <c r="BH187" i="5"/>
  <c r="BE187" i="5"/>
  <c r="BB187" i="5"/>
  <c r="AY187" i="5"/>
  <c r="AV187" i="5"/>
  <c r="AS187" i="5"/>
  <c r="AP187" i="5"/>
  <c r="AM187" i="5"/>
  <c r="AJ187" i="5"/>
  <c r="AG187" i="5"/>
  <c r="AD187" i="5"/>
  <c r="AA187" i="5"/>
  <c r="X187" i="5"/>
  <c r="U187" i="5"/>
  <c r="R187" i="5"/>
  <c r="O187" i="5"/>
  <c r="L187" i="5"/>
  <c r="K187" i="5"/>
  <c r="I187" i="5"/>
  <c r="H187" i="5"/>
  <c r="G187" i="5"/>
  <c r="BH186" i="5"/>
  <c r="BE186" i="5"/>
  <c r="BB186" i="5"/>
  <c r="AY186" i="5"/>
  <c r="AV186" i="5"/>
  <c r="AS186" i="5"/>
  <c r="AP186" i="5"/>
  <c r="AM186" i="5"/>
  <c r="AJ186" i="5"/>
  <c r="AG186" i="5"/>
  <c r="AD186" i="5"/>
  <c r="AA186" i="5"/>
  <c r="X186" i="5"/>
  <c r="U186" i="5"/>
  <c r="R186" i="5"/>
  <c r="O186" i="5"/>
  <c r="L186" i="5"/>
  <c r="K186" i="5"/>
  <c r="I186" i="5"/>
  <c r="H186" i="5"/>
  <c r="G186" i="5"/>
  <c r="BH185" i="5"/>
  <c r="BE185" i="5"/>
  <c r="BB185" i="5"/>
  <c r="AY185" i="5"/>
  <c r="AV185" i="5"/>
  <c r="AS185" i="5"/>
  <c r="AP185" i="5"/>
  <c r="AM185" i="5"/>
  <c r="AJ185" i="5"/>
  <c r="AG185" i="5"/>
  <c r="AD185" i="5"/>
  <c r="AA185" i="5"/>
  <c r="X185" i="5"/>
  <c r="U185" i="5"/>
  <c r="R185" i="5"/>
  <c r="O185" i="5"/>
  <c r="L185" i="5"/>
  <c r="K185" i="5"/>
  <c r="I185" i="5"/>
  <c r="H185" i="5"/>
  <c r="G185" i="5"/>
  <c r="BH184" i="5"/>
  <c r="BE184" i="5"/>
  <c r="BB184" i="5"/>
  <c r="AY184" i="5"/>
  <c r="AV184" i="5"/>
  <c r="AS184" i="5"/>
  <c r="AP184" i="5"/>
  <c r="AM184" i="5"/>
  <c r="AJ184" i="5"/>
  <c r="AG184" i="5"/>
  <c r="AD184" i="5"/>
  <c r="AA184" i="5"/>
  <c r="X184" i="5"/>
  <c r="U184" i="5"/>
  <c r="R184" i="5"/>
  <c r="O184" i="5"/>
  <c r="L184" i="5"/>
  <c r="K184" i="5"/>
  <c r="I184" i="5"/>
  <c r="H184" i="5"/>
  <c r="G184" i="5"/>
  <c r="BH183" i="5"/>
  <c r="BE183" i="5"/>
  <c r="BB183" i="5"/>
  <c r="AY183" i="5"/>
  <c r="AV183" i="5"/>
  <c r="AS183" i="5"/>
  <c r="AP183" i="5"/>
  <c r="AM183" i="5"/>
  <c r="AJ183" i="5"/>
  <c r="AG183" i="5"/>
  <c r="AD183" i="5"/>
  <c r="AA183" i="5"/>
  <c r="X183" i="5"/>
  <c r="U183" i="5"/>
  <c r="R183" i="5"/>
  <c r="O183" i="5"/>
  <c r="L183" i="5"/>
  <c r="K183" i="5"/>
  <c r="I183" i="5"/>
  <c r="H183" i="5"/>
  <c r="G183" i="5"/>
  <c r="BH182" i="5"/>
  <c r="BE182" i="5"/>
  <c r="BB182" i="5"/>
  <c r="AY182" i="5"/>
  <c r="AV182" i="5"/>
  <c r="AS182" i="5"/>
  <c r="AP182" i="5"/>
  <c r="AM182" i="5"/>
  <c r="AJ182" i="5"/>
  <c r="AG182" i="5"/>
  <c r="AD182" i="5"/>
  <c r="AA182" i="5"/>
  <c r="X182" i="5"/>
  <c r="U182" i="5"/>
  <c r="R182" i="5"/>
  <c r="O182" i="5"/>
  <c r="L182" i="5"/>
  <c r="K182" i="5"/>
  <c r="I182" i="5"/>
  <c r="H182" i="5"/>
  <c r="G182" i="5"/>
  <c r="BH181" i="5"/>
  <c r="BE181" i="5"/>
  <c r="BB181" i="5"/>
  <c r="AY181" i="5"/>
  <c r="AV181" i="5"/>
  <c r="AS181" i="5"/>
  <c r="AP181" i="5"/>
  <c r="AM181" i="5"/>
  <c r="AJ181" i="5"/>
  <c r="AG181" i="5"/>
  <c r="AD181" i="5"/>
  <c r="AA181" i="5"/>
  <c r="X181" i="5"/>
  <c r="U181" i="5"/>
  <c r="R181" i="5"/>
  <c r="O181" i="5"/>
  <c r="L181" i="5"/>
  <c r="K181" i="5"/>
  <c r="I181" i="5"/>
  <c r="H181" i="5"/>
  <c r="G181" i="5"/>
  <c r="BH180" i="5"/>
  <c r="BE180" i="5"/>
  <c r="BB180" i="5"/>
  <c r="AY180" i="5"/>
  <c r="AV180" i="5"/>
  <c r="AS180" i="5"/>
  <c r="AP180" i="5"/>
  <c r="AM180" i="5"/>
  <c r="AJ180" i="5"/>
  <c r="AG180" i="5"/>
  <c r="AD180" i="5"/>
  <c r="AA180" i="5"/>
  <c r="X180" i="5"/>
  <c r="U180" i="5"/>
  <c r="R180" i="5"/>
  <c r="O180" i="5"/>
  <c r="L180" i="5"/>
  <c r="K180" i="5"/>
  <c r="I180" i="5"/>
  <c r="H180" i="5"/>
  <c r="G180" i="5"/>
  <c r="BH179" i="5"/>
  <c r="BE179" i="5"/>
  <c r="BB179" i="5"/>
  <c r="AY179" i="5"/>
  <c r="AV179" i="5"/>
  <c r="AS179" i="5"/>
  <c r="AP179" i="5"/>
  <c r="AM179" i="5"/>
  <c r="AJ179" i="5"/>
  <c r="AG179" i="5"/>
  <c r="AD179" i="5"/>
  <c r="AA179" i="5"/>
  <c r="X179" i="5"/>
  <c r="U179" i="5"/>
  <c r="R179" i="5"/>
  <c r="O179" i="5"/>
  <c r="L179" i="5"/>
  <c r="K179" i="5"/>
  <c r="I179" i="5"/>
  <c r="H179" i="5"/>
  <c r="G179" i="5"/>
  <c r="BH178" i="5"/>
  <c r="BE178" i="5"/>
  <c r="BB178" i="5"/>
  <c r="AY178" i="5"/>
  <c r="AV178" i="5"/>
  <c r="AS178" i="5"/>
  <c r="AP178" i="5"/>
  <c r="AM178" i="5"/>
  <c r="AJ178" i="5"/>
  <c r="AG178" i="5"/>
  <c r="AD178" i="5"/>
  <c r="AA178" i="5"/>
  <c r="X178" i="5"/>
  <c r="U178" i="5"/>
  <c r="R178" i="5"/>
  <c r="O178" i="5"/>
  <c r="L178" i="5"/>
  <c r="K178" i="5"/>
  <c r="I178" i="5"/>
  <c r="H178" i="5"/>
  <c r="G178" i="5"/>
  <c r="BH177" i="5"/>
  <c r="BE177" i="5"/>
  <c r="BB177" i="5"/>
  <c r="AY177" i="5"/>
  <c r="AV177" i="5"/>
  <c r="AS177" i="5"/>
  <c r="AP177" i="5"/>
  <c r="AM177" i="5"/>
  <c r="AJ177" i="5"/>
  <c r="AG177" i="5"/>
  <c r="AD177" i="5"/>
  <c r="AA177" i="5"/>
  <c r="X177" i="5"/>
  <c r="U177" i="5"/>
  <c r="R177" i="5"/>
  <c r="O177" i="5"/>
  <c r="L177" i="5"/>
  <c r="K177" i="5"/>
  <c r="I177" i="5"/>
  <c r="H177" i="5"/>
  <c r="G177" i="5"/>
  <c r="BH176" i="5"/>
  <c r="BE176" i="5"/>
  <c r="BB176" i="5"/>
  <c r="AY176" i="5"/>
  <c r="AV176" i="5"/>
  <c r="AS176" i="5"/>
  <c r="AP176" i="5"/>
  <c r="AM176" i="5"/>
  <c r="AJ176" i="5"/>
  <c r="AG176" i="5"/>
  <c r="AD176" i="5"/>
  <c r="AA176" i="5"/>
  <c r="X176" i="5"/>
  <c r="U176" i="5"/>
  <c r="R176" i="5"/>
  <c r="O176" i="5"/>
  <c r="L176" i="5"/>
  <c r="K176" i="5"/>
  <c r="I176" i="5"/>
  <c r="H176" i="5"/>
  <c r="G176" i="5"/>
  <c r="BH175" i="5"/>
  <c r="BE175" i="5"/>
  <c r="BB175" i="5"/>
  <c r="AY175" i="5"/>
  <c r="AV175" i="5"/>
  <c r="AS175" i="5"/>
  <c r="AP175" i="5"/>
  <c r="AM175" i="5"/>
  <c r="AJ175" i="5"/>
  <c r="AG175" i="5"/>
  <c r="AD175" i="5"/>
  <c r="AA175" i="5"/>
  <c r="X175" i="5"/>
  <c r="U175" i="5"/>
  <c r="R175" i="5"/>
  <c r="O175" i="5"/>
  <c r="L175" i="5"/>
  <c r="K175" i="5"/>
  <c r="I175" i="5"/>
  <c r="H175" i="5"/>
  <c r="G175" i="5"/>
  <c r="BH174" i="5"/>
  <c r="BE174" i="5"/>
  <c r="BB174" i="5"/>
  <c r="AY174" i="5"/>
  <c r="AV174" i="5"/>
  <c r="AS174" i="5"/>
  <c r="AP174" i="5"/>
  <c r="AM174" i="5"/>
  <c r="AJ174" i="5"/>
  <c r="AG174" i="5"/>
  <c r="AD174" i="5"/>
  <c r="AA174" i="5"/>
  <c r="X174" i="5"/>
  <c r="U174" i="5"/>
  <c r="R174" i="5"/>
  <c r="O174" i="5"/>
  <c r="L174" i="5"/>
  <c r="K174" i="5"/>
  <c r="I174" i="5"/>
  <c r="H174" i="5"/>
  <c r="G174" i="5"/>
  <c r="BH173" i="5"/>
  <c r="BE173" i="5"/>
  <c r="BB173" i="5"/>
  <c r="AY173" i="5"/>
  <c r="AV173" i="5"/>
  <c r="AS173" i="5"/>
  <c r="AP173" i="5"/>
  <c r="AM173" i="5"/>
  <c r="AJ173" i="5"/>
  <c r="AG173" i="5"/>
  <c r="AD173" i="5"/>
  <c r="AA173" i="5"/>
  <c r="X173" i="5"/>
  <c r="U173" i="5"/>
  <c r="R173" i="5"/>
  <c r="O173" i="5"/>
  <c r="L173" i="5"/>
  <c r="K173" i="5"/>
  <c r="I173" i="5"/>
  <c r="H173" i="5"/>
  <c r="G173" i="5"/>
  <c r="BH172" i="5"/>
  <c r="BE172" i="5"/>
  <c r="BB172" i="5"/>
  <c r="AY172" i="5"/>
  <c r="AV172" i="5"/>
  <c r="AS172" i="5"/>
  <c r="AP172" i="5"/>
  <c r="AM172" i="5"/>
  <c r="AJ172" i="5"/>
  <c r="AG172" i="5"/>
  <c r="AD172" i="5"/>
  <c r="AA172" i="5"/>
  <c r="X172" i="5"/>
  <c r="U172" i="5"/>
  <c r="R172" i="5"/>
  <c r="O172" i="5"/>
  <c r="L172" i="5"/>
  <c r="K172" i="5"/>
  <c r="I172" i="5"/>
  <c r="H172" i="5"/>
  <c r="G172" i="5"/>
  <c r="BH171" i="5"/>
  <c r="BE171" i="5"/>
  <c r="BB171" i="5"/>
  <c r="AY171" i="5"/>
  <c r="AV171" i="5"/>
  <c r="AS171" i="5"/>
  <c r="AP171" i="5"/>
  <c r="AM171" i="5"/>
  <c r="AJ171" i="5"/>
  <c r="AG171" i="5"/>
  <c r="AD171" i="5"/>
  <c r="AA171" i="5"/>
  <c r="X171" i="5"/>
  <c r="U171" i="5"/>
  <c r="R171" i="5"/>
  <c r="O171" i="5"/>
  <c r="L171" i="5"/>
  <c r="K171" i="5"/>
  <c r="I171" i="5"/>
  <c r="H171" i="5"/>
  <c r="G171" i="5"/>
  <c r="BH170" i="5"/>
  <c r="BE170" i="5"/>
  <c r="BB170" i="5"/>
  <c r="AY170" i="5"/>
  <c r="AV170" i="5"/>
  <c r="AS170" i="5"/>
  <c r="AP170" i="5"/>
  <c r="AM170" i="5"/>
  <c r="AJ170" i="5"/>
  <c r="AG170" i="5"/>
  <c r="AD170" i="5"/>
  <c r="AA170" i="5"/>
  <c r="X170" i="5"/>
  <c r="U170" i="5"/>
  <c r="R170" i="5"/>
  <c r="O170" i="5"/>
  <c r="L170" i="5"/>
  <c r="K170" i="5"/>
  <c r="I170" i="5"/>
  <c r="H170" i="5"/>
  <c r="G170" i="5"/>
  <c r="BH169" i="5"/>
  <c r="BE169" i="5"/>
  <c r="BB169" i="5"/>
  <c r="AY169" i="5"/>
  <c r="AV169" i="5"/>
  <c r="AS169" i="5"/>
  <c r="AP169" i="5"/>
  <c r="AM169" i="5"/>
  <c r="AJ169" i="5"/>
  <c r="AG169" i="5"/>
  <c r="AD169" i="5"/>
  <c r="AA169" i="5"/>
  <c r="X169" i="5"/>
  <c r="U169" i="5"/>
  <c r="R169" i="5"/>
  <c r="O169" i="5"/>
  <c r="L169" i="5"/>
  <c r="K169" i="5"/>
  <c r="I169" i="5"/>
  <c r="H169" i="5"/>
  <c r="G169" i="5"/>
  <c r="BH168" i="5"/>
  <c r="BE168" i="5"/>
  <c r="BB168" i="5"/>
  <c r="AY168" i="5"/>
  <c r="AV168" i="5"/>
  <c r="AS168" i="5"/>
  <c r="AP168" i="5"/>
  <c r="AM168" i="5"/>
  <c r="AJ168" i="5"/>
  <c r="AG168" i="5"/>
  <c r="AD168" i="5"/>
  <c r="AA168" i="5"/>
  <c r="X168" i="5"/>
  <c r="U168" i="5"/>
  <c r="R168" i="5"/>
  <c r="O168" i="5"/>
  <c r="L168" i="5"/>
  <c r="K168" i="5"/>
  <c r="I168" i="5"/>
  <c r="H168" i="5"/>
  <c r="G168" i="5"/>
  <c r="BH167" i="5"/>
  <c r="BE167" i="5"/>
  <c r="BB167" i="5"/>
  <c r="AY167" i="5"/>
  <c r="AV167" i="5"/>
  <c r="AS167" i="5"/>
  <c r="AP167" i="5"/>
  <c r="AM167" i="5"/>
  <c r="AJ167" i="5"/>
  <c r="AG167" i="5"/>
  <c r="AD167" i="5"/>
  <c r="AA167" i="5"/>
  <c r="X167" i="5"/>
  <c r="U167" i="5"/>
  <c r="R167" i="5"/>
  <c r="O167" i="5"/>
  <c r="L167" i="5"/>
  <c r="K167" i="5"/>
  <c r="I167" i="5"/>
  <c r="H167" i="5"/>
  <c r="G167" i="5"/>
  <c r="BH166" i="5"/>
  <c r="BE166" i="5"/>
  <c r="BB166" i="5"/>
  <c r="AY166" i="5"/>
  <c r="AV166" i="5"/>
  <c r="AS166" i="5"/>
  <c r="AP166" i="5"/>
  <c r="AM166" i="5"/>
  <c r="AJ166" i="5"/>
  <c r="AG166" i="5"/>
  <c r="AD166" i="5"/>
  <c r="AA166" i="5"/>
  <c r="X166" i="5"/>
  <c r="U166" i="5"/>
  <c r="R166" i="5"/>
  <c r="O166" i="5"/>
  <c r="L166" i="5"/>
  <c r="K166" i="5"/>
  <c r="I166" i="5"/>
  <c r="H166" i="5"/>
  <c r="G166" i="5"/>
  <c r="BH165" i="5"/>
  <c r="BE165" i="5"/>
  <c r="BB165" i="5"/>
  <c r="AY165" i="5"/>
  <c r="AV165" i="5"/>
  <c r="AS165" i="5"/>
  <c r="AP165" i="5"/>
  <c r="AM165" i="5"/>
  <c r="AJ165" i="5"/>
  <c r="AG165" i="5"/>
  <c r="AD165" i="5"/>
  <c r="AA165" i="5"/>
  <c r="X165" i="5"/>
  <c r="U165" i="5"/>
  <c r="R165" i="5"/>
  <c r="O165" i="5"/>
  <c r="L165" i="5"/>
  <c r="K165" i="5"/>
  <c r="I165" i="5"/>
  <c r="H165" i="5"/>
  <c r="G165" i="5"/>
  <c r="BH164" i="5"/>
  <c r="BE164" i="5"/>
  <c r="BB164" i="5"/>
  <c r="AY164" i="5"/>
  <c r="AV164" i="5"/>
  <c r="AS164" i="5"/>
  <c r="AP164" i="5"/>
  <c r="AM164" i="5"/>
  <c r="AJ164" i="5"/>
  <c r="AG164" i="5"/>
  <c r="AD164" i="5"/>
  <c r="AA164" i="5"/>
  <c r="X164" i="5"/>
  <c r="U164" i="5"/>
  <c r="R164" i="5"/>
  <c r="O164" i="5"/>
  <c r="L164" i="5"/>
  <c r="K164" i="5"/>
  <c r="I164" i="5"/>
  <c r="H164" i="5"/>
  <c r="G164" i="5"/>
  <c r="BH163" i="5"/>
  <c r="BE163" i="5"/>
  <c r="BB163" i="5"/>
  <c r="AY163" i="5"/>
  <c r="AV163" i="5"/>
  <c r="AS163" i="5"/>
  <c r="AP163" i="5"/>
  <c r="AM163" i="5"/>
  <c r="AJ163" i="5"/>
  <c r="AG163" i="5"/>
  <c r="AD163" i="5"/>
  <c r="AA163" i="5"/>
  <c r="X163" i="5"/>
  <c r="U163" i="5"/>
  <c r="R163" i="5"/>
  <c r="O163" i="5"/>
  <c r="L163" i="5"/>
  <c r="K163" i="5"/>
  <c r="I163" i="5"/>
  <c r="H163" i="5"/>
  <c r="G163" i="5"/>
  <c r="BH162" i="5"/>
  <c r="BE162" i="5"/>
  <c r="BB162" i="5"/>
  <c r="AY162" i="5"/>
  <c r="AV162" i="5"/>
  <c r="AS162" i="5"/>
  <c r="AP162" i="5"/>
  <c r="AM162" i="5"/>
  <c r="AJ162" i="5"/>
  <c r="AG162" i="5"/>
  <c r="AD162" i="5"/>
  <c r="AA162" i="5"/>
  <c r="X162" i="5"/>
  <c r="U162" i="5"/>
  <c r="R162" i="5"/>
  <c r="O162" i="5"/>
  <c r="L162" i="5"/>
  <c r="K162" i="5"/>
  <c r="I162" i="5"/>
  <c r="H162" i="5"/>
  <c r="G162" i="5"/>
  <c r="BH161" i="5"/>
  <c r="BE161" i="5"/>
  <c r="BB161" i="5"/>
  <c r="AY161" i="5"/>
  <c r="AV161" i="5"/>
  <c r="AS161" i="5"/>
  <c r="AP161" i="5"/>
  <c r="AM161" i="5"/>
  <c r="AJ161" i="5"/>
  <c r="AG161" i="5"/>
  <c r="AD161" i="5"/>
  <c r="AA161" i="5"/>
  <c r="X161" i="5"/>
  <c r="U161" i="5"/>
  <c r="R161" i="5"/>
  <c r="O161" i="5"/>
  <c r="L161" i="5"/>
  <c r="K161" i="5"/>
  <c r="I161" i="5"/>
  <c r="H161" i="5"/>
  <c r="G161" i="5"/>
  <c r="BH160" i="5"/>
  <c r="BE160" i="5"/>
  <c r="BB160" i="5"/>
  <c r="AY160" i="5"/>
  <c r="AV160" i="5"/>
  <c r="AS160" i="5"/>
  <c r="AP160" i="5"/>
  <c r="AM160" i="5"/>
  <c r="AJ160" i="5"/>
  <c r="AG160" i="5"/>
  <c r="AD160" i="5"/>
  <c r="AA160" i="5"/>
  <c r="X160" i="5"/>
  <c r="U160" i="5"/>
  <c r="R160" i="5"/>
  <c r="O160" i="5"/>
  <c r="L160" i="5"/>
  <c r="K160" i="5"/>
  <c r="I160" i="5"/>
  <c r="H160" i="5"/>
  <c r="G160" i="5"/>
  <c r="BH159" i="5"/>
  <c r="BE159" i="5"/>
  <c r="BB159" i="5"/>
  <c r="AY159" i="5"/>
  <c r="AV159" i="5"/>
  <c r="AS159" i="5"/>
  <c r="AP159" i="5"/>
  <c r="AM159" i="5"/>
  <c r="AJ159" i="5"/>
  <c r="AG159" i="5"/>
  <c r="AD159" i="5"/>
  <c r="AA159" i="5"/>
  <c r="X159" i="5"/>
  <c r="U159" i="5"/>
  <c r="R159" i="5"/>
  <c r="O159" i="5"/>
  <c r="L159" i="5"/>
  <c r="K159" i="5"/>
  <c r="I159" i="5"/>
  <c r="H159" i="5"/>
  <c r="G159" i="5"/>
  <c r="BH158" i="5"/>
  <c r="BE158" i="5"/>
  <c r="BB158" i="5"/>
  <c r="AY158" i="5"/>
  <c r="AV158" i="5"/>
  <c r="AS158" i="5"/>
  <c r="AP158" i="5"/>
  <c r="AM158" i="5"/>
  <c r="AJ158" i="5"/>
  <c r="AG158" i="5"/>
  <c r="AD158" i="5"/>
  <c r="AA158" i="5"/>
  <c r="X158" i="5"/>
  <c r="U158" i="5"/>
  <c r="R158" i="5"/>
  <c r="O158" i="5"/>
  <c r="L158" i="5"/>
  <c r="K158" i="5"/>
  <c r="I158" i="5"/>
  <c r="H158" i="5"/>
  <c r="G158" i="5"/>
  <c r="BH157" i="5"/>
  <c r="BE157" i="5"/>
  <c r="BB157" i="5"/>
  <c r="AY157" i="5"/>
  <c r="AV157" i="5"/>
  <c r="AS157" i="5"/>
  <c r="AP157" i="5"/>
  <c r="AM157" i="5"/>
  <c r="AJ157" i="5"/>
  <c r="AG157" i="5"/>
  <c r="AD157" i="5"/>
  <c r="AA157" i="5"/>
  <c r="X157" i="5"/>
  <c r="U157" i="5"/>
  <c r="R157" i="5"/>
  <c r="O157" i="5"/>
  <c r="L157" i="5"/>
  <c r="K157" i="5"/>
  <c r="I157" i="5"/>
  <c r="H157" i="5"/>
  <c r="G157" i="5"/>
  <c r="BH156" i="5"/>
  <c r="BE156" i="5"/>
  <c r="BB156" i="5"/>
  <c r="AY156" i="5"/>
  <c r="AV156" i="5"/>
  <c r="AS156" i="5"/>
  <c r="AP156" i="5"/>
  <c r="AM156" i="5"/>
  <c r="AJ156" i="5"/>
  <c r="AG156" i="5"/>
  <c r="AD156" i="5"/>
  <c r="AA156" i="5"/>
  <c r="X156" i="5"/>
  <c r="U156" i="5"/>
  <c r="R156" i="5"/>
  <c r="O156" i="5"/>
  <c r="L156" i="5"/>
  <c r="K156" i="5"/>
  <c r="I156" i="5"/>
  <c r="H156" i="5"/>
  <c r="G156" i="5"/>
  <c r="BH155" i="5"/>
  <c r="BE155" i="5"/>
  <c r="BB155" i="5"/>
  <c r="AY155" i="5"/>
  <c r="AV155" i="5"/>
  <c r="AS155" i="5"/>
  <c r="AP155" i="5"/>
  <c r="AM155" i="5"/>
  <c r="AJ155" i="5"/>
  <c r="AG155" i="5"/>
  <c r="AD155" i="5"/>
  <c r="AA155" i="5"/>
  <c r="X155" i="5"/>
  <c r="U155" i="5"/>
  <c r="R155" i="5"/>
  <c r="O155" i="5"/>
  <c r="L155" i="5"/>
  <c r="K155" i="5"/>
  <c r="I155" i="5"/>
  <c r="H155" i="5"/>
  <c r="G155" i="5"/>
  <c r="BH154" i="5"/>
  <c r="BE154" i="5"/>
  <c r="BB154" i="5"/>
  <c r="AY154" i="5"/>
  <c r="AV154" i="5"/>
  <c r="AS154" i="5"/>
  <c r="AP154" i="5"/>
  <c r="AM154" i="5"/>
  <c r="AJ154" i="5"/>
  <c r="AG154" i="5"/>
  <c r="AD154" i="5"/>
  <c r="AA154" i="5"/>
  <c r="X154" i="5"/>
  <c r="U154" i="5"/>
  <c r="R154" i="5"/>
  <c r="O154" i="5"/>
  <c r="L154" i="5"/>
  <c r="K154" i="5"/>
  <c r="I154" i="5"/>
  <c r="H154" i="5"/>
  <c r="G154" i="5"/>
  <c r="BH153" i="5"/>
  <c r="BE153" i="5"/>
  <c r="BB153" i="5"/>
  <c r="AY153" i="5"/>
  <c r="AV153" i="5"/>
  <c r="AS153" i="5"/>
  <c r="AP153" i="5"/>
  <c r="AM153" i="5"/>
  <c r="AJ153" i="5"/>
  <c r="AG153" i="5"/>
  <c r="AD153" i="5"/>
  <c r="AA153" i="5"/>
  <c r="X153" i="5"/>
  <c r="U153" i="5"/>
  <c r="R153" i="5"/>
  <c r="O153" i="5"/>
  <c r="L153" i="5"/>
  <c r="K153" i="5"/>
  <c r="I153" i="5"/>
  <c r="H153" i="5"/>
  <c r="G153" i="5"/>
  <c r="BH152" i="5"/>
  <c r="BE152" i="5"/>
  <c r="BB152" i="5"/>
  <c r="AY152" i="5"/>
  <c r="AV152" i="5"/>
  <c r="AS152" i="5"/>
  <c r="AP152" i="5"/>
  <c r="AM152" i="5"/>
  <c r="AJ152" i="5"/>
  <c r="AG152" i="5"/>
  <c r="AD152" i="5"/>
  <c r="AA152" i="5"/>
  <c r="X152" i="5"/>
  <c r="U152" i="5"/>
  <c r="R152" i="5"/>
  <c r="O152" i="5"/>
  <c r="L152" i="5"/>
  <c r="K152" i="5"/>
  <c r="I152" i="5"/>
  <c r="H152" i="5"/>
  <c r="G152" i="5"/>
  <c r="BH151" i="5"/>
  <c r="BE151" i="5"/>
  <c r="BB151" i="5"/>
  <c r="AY151" i="5"/>
  <c r="AV151" i="5"/>
  <c r="AS151" i="5"/>
  <c r="AP151" i="5"/>
  <c r="AM151" i="5"/>
  <c r="AJ151" i="5"/>
  <c r="AG151" i="5"/>
  <c r="AD151" i="5"/>
  <c r="AA151" i="5"/>
  <c r="X151" i="5"/>
  <c r="U151" i="5"/>
  <c r="R151" i="5"/>
  <c r="O151" i="5"/>
  <c r="L151" i="5"/>
  <c r="K151" i="5"/>
  <c r="I151" i="5"/>
  <c r="H151" i="5"/>
  <c r="G151" i="5"/>
  <c r="BH150" i="5"/>
  <c r="BE150" i="5"/>
  <c r="BB150" i="5"/>
  <c r="AY150" i="5"/>
  <c r="AV150" i="5"/>
  <c r="AS150" i="5"/>
  <c r="AP150" i="5"/>
  <c r="AM150" i="5"/>
  <c r="AJ150" i="5"/>
  <c r="AG150" i="5"/>
  <c r="AD150" i="5"/>
  <c r="AA150" i="5"/>
  <c r="X150" i="5"/>
  <c r="U150" i="5"/>
  <c r="R150" i="5"/>
  <c r="O150" i="5"/>
  <c r="L150" i="5"/>
  <c r="K150" i="5"/>
  <c r="I150" i="5"/>
  <c r="H150" i="5"/>
  <c r="G150" i="5"/>
  <c r="BH149" i="5"/>
  <c r="BE149" i="5"/>
  <c r="BB149" i="5"/>
  <c r="AY149" i="5"/>
  <c r="AV149" i="5"/>
  <c r="AS149" i="5"/>
  <c r="AP149" i="5"/>
  <c r="AM149" i="5"/>
  <c r="AJ149" i="5"/>
  <c r="AG149" i="5"/>
  <c r="AD149" i="5"/>
  <c r="AA149" i="5"/>
  <c r="X149" i="5"/>
  <c r="U149" i="5"/>
  <c r="R149" i="5"/>
  <c r="O149" i="5"/>
  <c r="L149" i="5"/>
  <c r="K149" i="5"/>
  <c r="I149" i="5"/>
  <c r="H149" i="5"/>
  <c r="G149" i="5"/>
  <c r="BH148" i="5"/>
  <c r="BE148" i="5"/>
  <c r="BB148" i="5"/>
  <c r="AY148" i="5"/>
  <c r="AV148" i="5"/>
  <c r="AS148" i="5"/>
  <c r="AP148" i="5"/>
  <c r="AM148" i="5"/>
  <c r="AJ148" i="5"/>
  <c r="AG148" i="5"/>
  <c r="AD148" i="5"/>
  <c r="AA148" i="5"/>
  <c r="X148" i="5"/>
  <c r="U148" i="5"/>
  <c r="R148" i="5"/>
  <c r="O148" i="5"/>
  <c r="L148" i="5"/>
  <c r="K148" i="5"/>
  <c r="I148" i="5"/>
  <c r="H148" i="5"/>
  <c r="G148" i="5"/>
  <c r="BH147" i="5"/>
  <c r="BE147" i="5"/>
  <c r="BB147" i="5"/>
  <c r="AY147" i="5"/>
  <c r="AV147" i="5"/>
  <c r="AS147" i="5"/>
  <c r="AP147" i="5"/>
  <c r="AM147" i="5"/>
  <c r="AJ147" i="5"/>
  <c r="AG147" i="5"/>
  <c r="AD147" i="5"/>
  <c r="AA147" i="5"/>
  <c r="X147" i="5"/>
  <c r="U147" i="5"/>
  <c r="R147" i="5"/>
  <c r="O147" i="5"/>
  <c r="L147" i="5"/>
  <c r="K147" i="5"/>
  <c r="I147" i="5"/>
  <c r="H147" i="5"/>
  <c r="G147" i="5"/>
  <c r="BH146" i="5"/>
  <c r="BE146" i="5"/>
  <c r="BB146" i="5"/>
  <c r="AY146" i="5"/>
  <c r="AV146" i="5"/>
  <c r="AS146" i="5"/>
  <c r="AP146" i="5"/>
  <c r="AM146" i="5"/>
  <c r="AJ146" i="5"/>
  <c r="AG146" i="5"/>
  <c r="AD146" i="5"/>
  <c r="AA146" i="5"/>
  <c r="X146" i="5"/>
  <c r="U146" i="5"/>
  <c r="R146" i="5"/>
  <c r="O146" i="5"/>
  <c r="L146" i="5"/>
  <c r="K146" i="5"/>
  <c r="I146" i="5"/>
  <c r="H146" i="5"/>
  <c r="G146" i="5"/>
  <c r="BH145" i="5"/>
  <c r="BE145" i="5"/>
  <c r="BB145" i="5"/>
  <c r="AY145" i="5"/>
  <c r="AV145" i="5"/>
  <c r="AS145" i="5"/>
  <c r="AP145" i="5"/>
  <c r="AM145" i="5"/>
  <c r="AJ145" i="5"/>
  <c r="AG145" i="5"/>
  <c r="AD145" i="5"/>
  <c r="AA145" i="5"/>
  <c r="X145" i="5"/>
  <c r="U145" i="5"/>
  <c r="R145" i="5"/>
  <c r="O145" i="5"/>
  <c r="L145" i="5"/>
  <c r="K145" i="5"/>
  <c r="I145" i="5"/>
  <c r="H145" i="5"/>
  <c r="G145" i="5"/>
  <c r="BH144" i="5"/>
  <c r="BE144" i="5"/>
  <c r="BB144" i="5"/>
  <c r="AY144" i="5"/>
  <c r="AV144" i="5"/>
  <c r="AS144" i="5"/>
  <c r="AP144" i="5"/>
  <c r="AM144" i="5"/>
  <c r="AJ144" i="5"/>
  <c r="AG144" i="5"/>
  <c r="AD144" i="5"/>
  <c r="AA144" i="5"/>
  <c r="X144" i="5"/>
  <c r="U144" i="5"/>
  <c r="R144" i="5"/>
  <c r="O144" i="5"/>
  <c r="L144" i="5"/>
  <c r="K144" i="5"/>
  <c r="I144" i="5"/>
  <c r="H144" i="5"/>
  <c r="G144" i="5"/>
  <c r="BH143" i="5"/>
  <c r="BE143" i="5"/>
  <c r="BB143" i="5"/>
  <c r="AY143" i="5"/>
  <c r="AV143" i="5"/>
  <c r="AS143" i="5"/>
  <c r="AP143" i="5"/>
  <c r="AM143" i="5"/>
  <c r="AJ143" i="5"/>
  <c r="AG143" i="5"/>
  <c r="AD143" i="5"/>
  <c r="AA143" i="5"/>
  <c r="X143" i="5"/>
  <c r="U143" i="5"/>
  <c r="R143" i="5"/>
  <c r="O143" i="5"/>
  <c r="L143" i="5"/>
  <c r="K143" i="5"/>
  <c r="I143" i="5"/>
  <c r="H143" i="5"/>
  <c r="G143" i="5"/>
  <c r="BH142" i="5"/>
  <c r="BE142" i="5"/>
  <c r="BB142" i="5"/>
  <c r="AY142" i="5"/>
  <c r="AV142" i="5"/>
  <c r="AS142" i="5"/>
  <c r="AP142" i="5"/>
  <c r="AM142" i="5"/>
  <c r="AJ142" i="5"/>
  <c r="AG142" i="5"/>
  <c r="AD142" i="5"/>
  <c r="AA142" i="5"/>
  <c r="X142" i="5"/>
  <c r="U142" i="5"/>
  <c r="R142" i="5"/>
  <c r="O142" i="5"/>
  <c r="L142" i="5"/>
  <c r="K142" i="5"/>
  <c r="I142" i="5"/>
  <c r="H142" i="5"/>
  <c r="G142" i="5"/>
  <c r="BH141" i="5"/>
  <c r="BE141" i="5"/>
  <c r="BB141" i="5"/>
  <c r="AY141" i="5"/>
  <c r="AV141" i="5"/>
  <c r="AS141" i="5"/>
  <c r="AP141" i="5"/>
  <c r="AM141" i="5"/>
  <c r="AJ141" i="5"/>
  <c r="AG141" i="5"/>
  <c r="AD141" i="5"/>
  <c r="AA141" i="5"/>
  <c r="X141" i="5"/>
  <c r="U141" i="5"/>
  <c r="R141" i="5"/>
  <c r="O141" i="5"/>
  <c r="L141" i="5"/>
  <c r="K141" i="5"/>
  <c r="I141" i="5"/>
  <c r="H141" i="5"/>
  <c r="G141" i="5"/>
  <c r="BH140" i="5"/>
  <c r="BE140" i="5"/>
  <c r="BB140" i="5"/>
  <c r="AY140" i="5"/>
  <c r="AV140" i="5"/>
  <c r="AS140" i="5"/>
  <c r="AP140" i="5"/>
  <c r="AM140" i="5"/>
  <c r="AJ140" i="5"/>
  <c r="AG140" i="5"/>
  <c r="AD140" i="5"/>
  <c r="AA140" i="5"/>
  <c r="X140" i="5"/>
  <c r="U140" i="5"/>
  <c r="R140" i="5"/>
  <c r="O140" i="5"/>
  <c r="L140" i="5"/>
  <c r="K140" i="5"/>
  <c r="I140" i="5"/>
  <c r="H140" i="5"/>
  <c r="G140" i="5"/>
  <c r="BH139" i="5"/>
  <c r="BE139" i="5"/>
  <c r="BB139" i="5"/>
  <c r="AY139" i="5"/>
  <c r="AV139" i="5"/>
  <c r="AS139" i="5"/>
  <c r="AP139" i="5"/>
  <c r="AM139" i="5"/>
  <c r="AJ139" i="5"/>
  <c r="AG139" i="5"/>
  <c r="AD139" i="5"/>
  <c r="AA139" i="5"/>
  <c r="X139" i="5"/>
  <c r="U139" i="5"/>
  <c r="R139" i="5"/>
  <c r="O139" i="5"/>
  <c r="L139" i="5"/>
  <c r="K139" i="5"/>
  <c r="I139" i="5"/>
  <c r="H139" i="5"/>
  <c r="G139" i="5"/>
  <c r="BH138" i="5"/>
  <c r="BE138" i="5"/>
  <c r="BB138" i="5"/>
  <c r="AY138" i="5"/>
  <c r="AV138" i="5"/>
  <c r="AS138" i="5"/>
  <c r="AP138" i="5"/>
  <c r="AM138" i="5"/>
  <c r="AJ138" i="5"/>
  <c r="AG138" i="5"/>
  <c r="AD138" i="5"/>
  <c r="AA138" i="5"/>
  <c r="X138" i="5"/>
  <c r="U138" i="5"/>
  <c r="R138" i="5"/>
  <c r="O138" i="5"/>
  <c r="L138" i="5"/>
  <c r="K138" i="5"/>
  <c r="I138" i="5"/>
  <c r="H138" i="5"/>
  <c r="G138" i="5"/>
  <c r="BH137" i="5"/>
  <c r="BE137" i="5"/>
  <c r="BB137" i="5"/>
  <c r="AY137" i="5"/>
  <c r="AV137" i="5"/>
  <c r="AS137" i="5"/>
  <c r="AP137" i="5"/>
  <c r="AM137" i="5"/>
  <c r="AJ137" i="5"/>
  <c r="AG137" i="5"/>
  <c r="AD137" i="5"/>
  <c r="AA137" i="5"/>
  <c r="X137" i="5"/>
  <c r="U137" i="5"/>
  <c r="R137" i="5"/>
  <c r="O137" i="5"/>
  <c r="L137" i="5"/>
  <c r="K137" i="5"/>
  <c r="I137" i="5"/>
  <c r="H137" i="5"/>
  <c r="G137" i="5"/>
  <c r="BH136" i="5"/>
  <c r="BE136" i="5"/>
  <c r="BB136" i="5"/>
  <c r="AY136" i="5"/>
  <c r="AV136" i="5"/>
  <c r="AS136" i="5"/>
  <c r="AP136" i="5"/>
  <c r="AM136" i="5"/>
  <c r="AJ136" i="5"/>
  <c r="AG136" i="5"/>
  <c r="AD136" i="5"/>
  <c r="AA136" i="5"/>
  <c r="X136" i="5"/>
  <c r="U136" i="5"/>
  <c r="R136" i="5"/>
  <c r="O136" i="5"/>
  <c r="L136" i="5"/>
  <c r="K136" i="5"/>
  <c r="I136" i="5"/>
  <c r="H136" i="5"/>
  <c r="G136" i="5"/>
  <c r="BH135" i="5"/>
  <c r="BE135" i="5"/>
  <c r="BB135" i="5"/>
  <c r="AY135" i="5"/>
  <c r="AV135" i="5"/>
  <c r="AS135" i="5"/>
  <c r="AP135" i="5"/>
  <c r="AM135" i="5"/>
  <c r="AJ135" i="5"/>
  <c r="AG135" i="5"/>
  <c r="AD135" i="5"/>
  <c r="AA135" i="5"/>
  <c r="X135" i="5"/>
  <c r="U135" i="5"/>
  <c r="R135" i="5"/>
  <c r="O135" i="5"/>
  <c r="L135" i="5"/>
  <c r="K135" i="5"/>
  <c r="I135" i="5"/>
  <c r="H135" i="5"/>
  <c r="G135" i="5"/>
  <c r="BH134" i="5"/>
  <c r="BE134" i="5"/>
  <c r="BB134" i="5"/>
  <c r="AY134" i="5"/>
  <c r="AV134" i="5"/>
  <c r="AS134" i="5"/>
  <c r="AP134" i="5"/>
  <c r="AM134" i="5"/>
  <c r="AJ134" i="5"/>
  <c r="AG134" i="5"/>
  <c r="AD134" i="5"/>
  <c r="AA134" i="5"/>
  <c r="X134" i="5"/>
  <c r="U134" i="5"/>
  <c r="R134" i="5"/>
  <c r="O134" i="5"/>
  <c r="L134" i="5"/>
  <c r="K134" i="5"/>
  <c r="I134" i="5"/>
  <c r="H134" i="5"/>
  <c r="G134" i="5"/>
  <c r="BH133" i="5"/>
  <c r="BE133" i="5"/>
  <c r="BB133" i="5"/>
  <c r="AY133" i="5"/>
  <c r="AV133" i="5"/>
  <c r="AS133" i="5"/>
  <c r="AP133" i="5"/>
  <c r="AM133" i="5"/>
  <c r="AJ133" i="5"/>
  <c r="AG133" i="5"/>
  <c r="AD133" i="5"/>
  <c r="AA133" i="5"/>
  <c r="X133" i="5"/>
  <c r="U133" i="5"/>
  <c r="R133" i="5"/>
  <c r="O133" i="5"/>
  <c r="L133" i="5"/>
  <c r="K133" i="5"/>
  <c r="I133" i="5"/>
  <c r="H133" i="5"/>
  <c r="G133" i="5"/>
  <c r="BH132" i="5"/>
  <c r="BE132" i="5"/>
  <c r="BB132" i="5"/>
  <c r="AY132" i="5"/>
  <c r="AV132" i="5"/>
  <c r="AS132" i="5"/>
  <c r="AP132" i="5"/>
  <c r="AM132" i="5"/>
  <c r="AJ132" i="5"/>
  <c r="AG132" i="5"/>
  <c r="AD132" i="5"/>
  <c r="AA132" i="5"/>
  <c r="X132" i="5"/>
  <c r="U132" i="5"/>
  <c r="R132" i="5"/>
  <c r="O132" i="5"/>
  <c r="L132" i="5"/>
  <c r="K132" i="5"/>
  <c r="I132" i="5"/>
  <c r="H132" i="5"/>
  <c r="G132" i="5"/>
  <c r="BH131" i="5"/>
  <c r="BE131" i="5"/>
  <c r="BB131" i="5"/>
  <c r="AY131" i="5"/>
  <c r="AV131" i="5"/>
  <c r="AS131" i="5"/>
  <c r="AP131" i="5"/>
  <c r="AM131" i="5"/>
  <c r="AJ131" i="5"/>
  <c r="AG131" i="5"/>
  <c r="AD131" i="5"/>
  <c r="AA131" i="5"/>
  <c r="X131" i="5"/>
  <c r="U131" i="5"/>
  <c r="R131" i="5"/>
  <c r="O131" i="5"/>
  <c r="L131" i="5"/>
  <c r="K131" i="5"/>
  <c r="I131" i="5"/>
  <c r="H131" i="5"/>
  <c r="G131" i="5"/>
  <c r="BH130" i="5"/>
  <c r="BE130" i="5"/>
  <c r="BB130" i="5"/>
  <c r="AY130" i="5"/>
  <c r="AV130" i="5"/>
  <c r="AS130" i="5"/>
  <c r="AP130" i="5"/>
  <c r="AM130" i="5"/>
  <c r="AJ130" i="5"/>
  <c r="AG130" i="5"/>
  <c r="AD130" i="5"/>
  <c r="AA130" i="5"/>
  <c r="X130" i="5"/>
  <c r="U130" i="5"/>
  <c r="R130" i="5"/>
  <c r="O130" i="5"/>
  <c r="L130" i="5"/>
  <c r="K130" i="5"/>
  <c r="I130" i="5"/>
  <c r="H130" i="5"/>
  <c r="G130" i="5"/>
  <c r="BH129" i="5"/>
  <c r="BE129" i="5"/>
  <c r="BB129" i="5"/>
  <c r="AY129" i="5"/>
  <c r="AV129" i="5"/>
  <c r="AS129" i="5"/>
  <c r="AP129" i="5"/>
  <c r="AM129" i="5"/>
  <c r="AJ129" i="5"/>
  <c r="AG129" i="5"/>
  <c r="AD129" i="5"/>
  <c r="AA129" i="5"/>
  <c r="X129" i="5"/>
  <c r="U129" i="5"/>
  <c r="R129" i="5"/>
  <c r="O129" i="5"/>
  <c r="L129" i="5"/>
  <c r="K129" i="5"/>
  <c r="I129" i="5"/>
  <c r="H129" i="5"/>
  <c r="G129" i="5"/>
  <c r="BH128" i="5"/>
  <c r="BE128" i="5"/>
  <c r="BB128" i="5"/>
  <c r="AY128" i="5"/>
  <c r="AV128" i="5"/>
  <c r="AS128" i="5"/>
  <c r="AP128" i="5"/>
  <c r="AM128" i="5"/>
  <c r="AJ128" i="5"/>
  <c r="AG128" i="5"/>
  <c r="AD128" i="5"/>
  <c r="AA128" i="5"/>
  <c r="X128" i="5"/>
  <c r="U128" i="5"/>
  <c r="R128" i="5"/>
  <c r="O128" i="5"/>
  <c r="L128" i="5"/>
  <c r="K128" i="5"/>
  <c r="I128" i="5"/>
  <c r="H128" i="5"/>
  <c r="G128" i="5"/>
  <c r="BH127" i="5"/>
  <c r="BE127" i="5"/>
  <c r="BB127" i="5"/>
  <c r="AY127" i="5"/>
  <c r="AV127" i="5"/>
  <c r="AS127" i="5"/>
  <c r="AP127" i="5"/>
  <c r="AM127" i="5"/>
  <c r="AJ127" i="5"/>
  <c r="AG127" i="5"/>
  <c r="AD127" i="5"/>
  <c r="AA127" i="5"/>
  <c r="X127" i="5"/>
  <c r="U127" i="5"/>
  <c r="R127" i="5"/>
  <c r="O127" i="5"/>
  <c r="L127" i="5"/>
  <c r="K127" i="5"/>
  <c r="I127" i="5"/>
  <c r="H127" i="5"/>
  <c r="G127" i="5"/>
  <c r="BH126" i="5"/>
  <c r="BE126" i="5"/>
  <c r="BB126" i="5"/>
  <c r="AY126" i="5"/>
  <c r="AV126" i="5"/>
  <c r="AS126" i="5"/>
  <c r="AP126" i="5"/>
  <c r="AM126" i="5"/>
  <c r="AJ126" i="5"/>
  <c r="AG126" i="5"/>
  <c r="AD126" i="5"/>
  <c r="AA126" i="5"/>
  <c r="X126" i="5"/>
  <c r="U126" i="5"/>
  <c r="R126" i="5"/>
  <c r="O126" i="5"/>
  <c r="L126" i="5"/>
  <c r="K126" i="5"/>
  <c r="I126" i="5"/>
  <c r="H126" i="5"/>
  <c r="G126" i="5"/>
  <c r="BH125" i="5"/>
  <c r="BE125" i="5"/>
  <c r="BB125" i="5"/>
  <c r="AY125" i="5"/>
  <c r="AV125" i="5"/>
  <c r="AS125" i="5"/>
  <c r="AP125" i="5"/>
  <c r="AM125" i="5"/>
  <c r="AJ125" i="5"/>
  <c r="AG125" i="5"/>
  <c r="AD125" i="5"/>
  <c r="AA125" i="5"/>
  <c r="X125" i="5"/>
  <c r="U125" i="5"/>
  <c r="R125" i="5"/>
  <c r="O125" i="5"/>
  <c r="L125" i="5"/>
  <c r="K125" i="5"/>
  <c r="I125" i="5"/>
  <c r="H125" i="5"/>
  <c r="G125" i="5"/>
  <c r="BH124" i="5"/>
  <c r="BE124" i="5"/>
  <c r="BB124" i="5"/>
  <c r="AY124" i="5"/>
  <c r="AV124" i="5"/>
  <c r="AS124" i="5"/>
  <c r="AP124" i="5"/>
  <c r="AM124" i="5"/>
  <c r="AJ124" i="5"/>
  <c r="AG124" i="5"/>
  <c r="AD124" i="5"/>
  <c r="AA124" i="5"/>
  <c r="X124" i="5"/>
  <c r="U124" i="5"/>
  <c r="R124" i="5"/>
  <c r="O124" i="5"/>
  <c r="L124" i="5"/>
  <c r="K124" i="5"/>
  <c r="I124" i="5"/>
  <c r="H124" i="5"/>
  <c r="G124" i="5"/>
  <c r="BH123" i="5"/>
  <c r="BE123" i="5"/>
  <c r="BB123" i="5"/>
  <c r="AY123" i="5"/>
  <c r="AV123" i="5"/>
  <c r="AS123" i="5"/>
  <c r="AP123" i="5"/>
  <c r="AM123" i="5"/>
  <c r="AJ123" i="5"/>
  <c r="AG123" i="5"/>
  <c r="AD123" i="5"/>
  <c r="AA123" i="5"/>
  <c r="X123" i="5"/>
  <c r="U123" i="5"/>
  <c r="R123" i="5"/>
  <c r="O123" i="5"/>
  <c r="L123" i="5"/>
  <c r="K123" i="5"/>
  <c r="I123" i="5"/>
  <c r="H123" i="5"/>
  <c r="G123" i="5"/>
  <c r="BH122" i="5"/>
  <c r="BE122" i="5"/>
  <c r="BB122" i="5"/>
  <c r="AY122" i="5"/>
  <c r="AV122" i="5"/>
  <c r="AS122" i="5"/>
  <c r="AP122" i="5"/>
  <c r="AM122" i="5"/>
  <c r="AJ122" i="5"/>
  <c r="AG122" i="5"/>
  <c r="AD122" i="5"/>
  <c r="AA122" i="5"/>
  <c r="X122" i="5"/>
  <c r="U122" i="5"/>
  <c r="R122" i="5"/>
  <c r="O122" i="5"/>
  <c r="L122" i="5"/>
  <c r="K122" i="5"/>
  <c r="I122" i="5"/>
  <c r="H122" i="5"/>
  <c r="G122" i="5"/>
  <c r="BH121" i="5"/>
  <c r="BE121" i="5"/>
  <c r="BB121" i="5"/>
  <c r="AY121" i="5"/>
  <c r="AV121" i="5"/>
  <c r="AS121" i="5"/>
  <c r="AP121" i="5"/>
  <c r="AM121" i="5"/>
  <c r="AJ121" i="5"/>
  <c r="AG121" i="5"/>
  <c r="AD121" i="5"/>
  <c r="AA121" i="5"/>
  <c r="X121" i="5"/>
  <c r="U121" i="5"/>
  <c r="R121" i="5"/>
  <c r="O121" i="5"/>
  <c r="L121" i="5"/>
  <c r="K121" i="5"/>
  <c r="I121" i="5"/>
  <c r="H121" i="5"/>
  <c r="G121" i="5"/>
  <c r="BH120" i="5"/>
  <c r="BE120" i="5"/>
  <c r="BB120" i="5"/>
  <c r="AY120" i="5"/>
  <c r="AV120" i="5"/>
  <c r="AS120" i="5"/>
  <c r="AP120" i="5"/>
  <c r="AM120" i="5"/>
  <c r="AJ120" i="5"/>
  <c r="AG120" i="5"/>
  <c r="AD120" i="5"/>
  <c r="AA120" i="5"/>
  <c r="X120" i="5"/>
  <c r="U120" i="5"/>
  <c r="R120" i="5"/>
  <c r="O120" i="5"/>
  <c r="L120" i="5"/>
  <c r="K120" i="5"/>
  <c r="I120" i="5"/>
  <c r="H120" i="5"/>
  <c r="G120" i="5"/>
  <c r="BH119" i="5"/>
  <c r="BE119" i="5"/>
  <c r="BB119" i="5"/>
  <c r="AY119" i="5"/>
  <c r="AV119" i="5"/>
  <c r="AS119" i="5"/>
  <c r="AP119" i="5"/>
  <c r="AM119" i="5"/>
  <c r="AJ119" i="5"/>
  <c r="AG119" i="5"/>
  <c r="AD119" i="5"/>
  <c r="AA119" i="5"/>
  <c r="X119" i="5"/>
  <c r="U119" i="5"/>
  <c r="R119" i="5"/>
  <c r="O119" i="5"/>
  <c r="L119" i="5"/>
  <c r="K119" i="5"/>
  <c r="I119" i="5"/>
  <c r="H119" i="5"/>
  <c r="G119" i="5"/>
  <c r="BH118" i="5"/>
  <c r="BE118" i="5"/>
  <c r="BB118" i="5"/>
  <c r="AY118" i="5"/>
  <c r="AV118" i="5"/>
  <c r="AS118" i="5"/>
  <c r="AP118" i="5"/>
  <c r="AM118" i="5"/>
  <c r="AJ118" i="5"/>
  <c r="AG118" i="5"/>
  <c r="AD118" i="5"/>
  <c r="AA118" i="5"/>
  <c r="X118" i="5"/>
  <c r="U118" i="5"/>
  <c r="R118" i="5"/>
  <c r="O118" i="5"/>
  <c r="L118" i="5"/>
  <c r="K118" i="5"/>
  <c r="I118" i="5"/>
  <c r="H118" i="5"/>
  <c r="G118" i="5"/>
  <c r="BH117" i="5"/>
  <c r="BE117" i="5"/>
  <c r="BB117" i="5"/>
  <c r="AY117" i="5"/>
  <c r="AV117" i="5"/>
  <c r="AS117" i="5"/>
  <c r="AP117" i="5"/>
  <c r="AM117" i="5"/>
  <c r="AJ117" i="5"/>
  <c r="AG117" i="5"/>
  <c r="AD117" i="5"/>
  <c r="AA117" i="5"/>
  <c r="X117" i="5"/>
  <c r="U117" i="5"/>
  <c r="R117" i="5"/>
  <c r="O117" i="5"/>
  <c r="L117" i="5"/>
  <c r="K117" i="5"/>
  <c r="I117" i="5"/>
  <c r="H117" i="5"/>
  <c r="G117" i="5"/>
  <c r="BH116" i="5"/>
  <c r="BE116" i="5"/>
  <c r="BB116" i="5"/>
  <c r="AY116" i="5"/>
  <c r="AV116" i="5"/>
  <c r="AS116" i="5"/>
  <c r="AP116" i="5"/>
  <c r="AM116" i="5"/>
  <c r="AJ116" i="5"/>
  <c r="AG116" i="5"/>
  <c r="AD116" i="5"/>
  <c r="AA116" i="5"/>
  <c r="X116" i="5"/>
  <c r="U116" i="5"/>
  <c r="R116" i="5"/>
  <c r="O116" i="5"/>
  <c r="L116" i="5"/>
  <c r="K116" i="5"/>
  <c r="I116" i="5"/>
  <c r="H116" i="5"/>
  <c r="G116" i="5"/>
  <c r="BH115" i="5"/>
  <c r="BE115" i="5"/>
  <c r="BB115" i="5"/>
  <c r="AY115" i="5"/>
  <c r="AV115" i="5"/>
  <c r="AS115" i="5"/>
  <c r="AP115" i="5"/>
  <c r="AM115" i="5"/>
  <c r="AJ115" i="5"/>
  <c r="AG115" i="5"/>
  <c r="AD115" i="5"/>
  <c r="AA115" i="5"/>
  <c r="X115" i="5"/>
  <c r="U115" i="5"/>
  <c r="R115" i="5"/>
  <c r="O115" i="5"/>
  <c r="L115" i="5"/>
  <c r="K115" i="5"/>
  <c r="I115" i="5"/>
  <c r="H115" i="5"/>
  <c r="G115" i="5"/>
  <c r="BH114" i="5"/>
  <c r="BE114" i="5"/>
  <c r="BB114" i="5"/>
  <c r="AY114" i="5"/>
  <c r="AV114" i="5"/>
  <c r="AS114" i="5"/>
  <c r="AP114" i="5"/>
  <c r="AM114" i="5"/>
  <c r="AJ114" i="5"/>
  <c r="AG114" i="5"/>
  <c r="AD114" i="5"/>
  <c r="AA114" i="5"/>
  <c r="X114" i="5"/>
  <c r="U114" i="5"/>
  <c r="R114" i="5"/>
  <c r="O114" i="5"/>
  <c r="L114" i="5"/>
  <c r="K114" i="5"/>
  <c r="I114" i="5"/>
  <c r="H114" i="5"/>
  <c r="G114" i="5"/>
  <c r="BH113" i="5"/>
  <c r="BE113" i="5"/>
  <c r="BB113" i="5"/>
  <c r="AY113" i="5"/>
  <c r="AV113" i="5"/>
  <c r="AS113" i="5"/>
  <c r="AP113" i="5"/>
  <c r="AM113" i="5"/>
  <c r="AJ113" i="5"/>
  <c r="AG113" i="5"/>
  <c r="AD113" i="5"/>
  <c r="AA113" i="5"/>
  <c r="X113" i="5"/>
  <c r="U113" i="5"/>
  <c r="R113" i="5"/>
  <c r="O113" i="5"/>
  <c r="L113" i="5"/>
  <c r="K113" i="5"/>
  <c r="I113" i="5"/>
  <c r="H113" i="5"/>
  <c r="G113" i="5"/>
  <c r="BH112" i="5"/>
  <c r="BE112" i="5"/>
  <c r="BB112" i="5"/>
  <c r="AY112" i="5"/>
  <c r="AV112" i="5"/>
  <c r="AS112" i="5"/>
  <c r="AP112" i="5"/>
  <c r="AM112" i="5"/>
  <c r="AJ112" i="5"/>
  <c r="AG112" i="5"/>
  <c r="AD112" i="5"/>
  <c r="AA112" i="5"/>
  <c r="X112" i="5"/>
  <c r="U112" i="5"/>
  <c r="R112" i="5"/>
  <c r="O112" i="5"/>
  <c r="L112" i="5"/>
  <c r="K112" i="5"/>
  <c r="I112" i="5"/>
  <c r="H112" i="5"/>
  <c r="G112" i="5"/>
  <c r="BH111" i="5"/>
  <c r="BE111" i="5"/>
  <c r="BB111" i="5"/>
  <c r="AY111" i="5"/>
  <c r="AV111" i="5"/>
  <c r="AS111" i="5"/>
  <c r="AP111" i="5"/>
  <c r="AM111" i="5"/>
  <c r="AJ111" i="5"/>
  <c r="AG111" i="5"/>
  <c r="AD111" i="5"/>
  <c r="AA111" i="5"/>
  <c r="X111" i="5"/>
  <c r="U111" i="5"/>
  <c r="R111" i="5"/>
  <c r="O111" i="5"/>
  <c r="L111" i="5"/>
  <c r="K111" i="5"/>
  <c r="I111" i="5"/>
  <c r="H111" i="5"/>
  <c r="G111" i="5"/>
  <c r="BH110" i="5"/>
  <c r="BE110" i="5"/>
  <c r="BB110" i="5"/>
  <c r="AY110" i="5"/>
  <c r="AV110" i="5"/>
  <c r="AS110" i="5"/>
  <c r="AP110" i="5"/>
  <c r="AM110" i="5"/>
  <c r="AJ110" i="5"/>
  <c r="AG110" i="5"/>
  <c r="AD110" i="5"/>
  <c r="AA110" i="5"/>
  <c r="X110" i="5"/>
  <c r="U110" i="5"/>
  <c r="R110" i="5"/>
  <c r="O110" i="5"/>
  <c r="L110" i="5"/>
  <c r="K110" i="5"/>
  <c r="I110" i="5"/>
  <c r="H110" i="5"/>
  <c r="G110" i="5"/>
  <c r="BH109" i="5"/>
  <c r="BE109" i="5"/>
  <c r="BB109" i="5"/>
  <c r="AY109" i="5"/>
  <c r="AV109" i="5"/>
  <c r="AS109" i="5"/>
  <c r="AP109" i="5"/>
  <c r="AM109" i="5"/>
  <c r="AJ109" i="5"/>
  <c r="AG109" i="5"/>
  <c r="AD109" i="5"/>
  <c r="AA109" i="5"/>
  <c r="X109" i="5"/>
  <c r="U109" i="5"/>
  <c r="R109" i="5"/>
  <c r="O109" i="5"/>
  <c r="L109" i="5"/>
  <c r="K109" i="5"/>
  <c r="I109" i="5"/>
  <c r="H109" i="5"/>
  <c r="G109" i="5"/>
  <c r="BH108" i="5"/>
  <c r="BE108" i="5"/>
  <c r="BB108" i="5"/>
  <c r="AY108" i="5"/>
  <c r="AV108" i="5"/>
  <c r="AS108" i="5"/>
  <c r="AP108" i="5"/>
  <c r="AM108" i="5"/>
  <c r="AJ108" i="5"/>
  <c r="AG108" i="5"/>
  <c r="AD108" i="5"/>
  <c r="AA108" i="5"/>
  <c r="X108" i="5"/>
  <c r="U108" i="5"/>
  <c r="R108" i="5"/>
  <c r="O108" i="5"/>
  <c r="L108" i="5"/>
  <c r="K108" i="5"/>
  <c r="I108" i="5"/>
  <c r="H108" i="5"/>
  <c r="G108" i="5"/>
  <c r="BH107" i="5"/>
  <c r="BE107" i="5"/>
  <c r="BB107" i="5"/>
  <c r="AY107" i="5"/>
  <c r="AV107" i="5"/>
  <c r="AS107" i="5"/>
  <c r="AP107" i="5"/>
  <c r="AM107" i="5"/>
  <c r="AJ107" i="5"/>
  <c r="AG107" i="5"/>
  <c r="AD107" i="5"/>
  <c r="AA107" i="5"/>
  <c r="X107" i="5"/>
  <c r="U107" i="5"/>
  <c r="R107" i="5"/>
  <c r="O107" i="5"/>
  <c r="L107" i="5"/>
  <c r="K107" i="5"/>
  <c r="I107" i="5"/>
  <c r="H107" i="5"/>
  <c r="G107" i="5"/>
  <c r="BH106" i="5"/>
  <c r="BE106" i="5"/>
  <c r="BB106" i="5"/>
  <c r="AY106" i="5"/>
  <c r="AV106" i="5"/>
  <c r="AS106" i="5"/>
  <c r="AP106" i="5"/>
  <c r="AM106" i="5"/>
  <c r="AJ106" i="5"/>
  <c r="AG106" i="5"/>
  <c r="AD106" i="5"/>
  <c r="AA106" i="5"/>
  <c r="X106" i="5"/>
  <c r="U106" i="5"/>
  <c r="R106" i="5"/>
  <c r="O106" i="5"/>
  <c r="L106" i="5"/>
  <c r="K106" i="5"/>
  <c r="I106" i="5"/>
  <c r="H106" i="5"/>
  <c r="G106" i="5"/>
  <c r="BH105" i="5"/>
  <c r="BE105" i="5"/>
  <c r="BB105" i="5"/>
  <c r="AY105" i="5"/>
  <c r="AV105" i="5"/>
  <c r="AS105" i="5"/>
  <c r="AP105" i="5"/>
  <c r="AM105" i="5"/>
  <c r="AJ105" i="5"/>
  <c r="AG105" i="5"/>
  <c r="AD105" i="5"/>
  <c r="AA105" i="5"/>
  <c r="X105" i="5"/>
  <c r="U105" i="5"/>
  <c r="R105" i="5"/>
  <c r="O105" i="5"/>
  <c r="L105" i="5"/>
  <c r="K105" i="5"/>
  <c r="I105" i="5"/>
  <c r="H105" i="5"/>
  <c r="G105" i="5"/>
  <c r="BH104" i="5"/>
  <c r="BE104" i="5"/>
  <c r="BB104" i="5"/>
  <c r="AY104" i="5"/>
  <c r="AV104" i="5"/>
  <c r="AS104" i="5"/>
  <c r="AP104" i="5"/>
  <c r="AM104" i="5"/>
  <c r="AJ104" i="5"/>
  <c r="AG104" i="5"/>
  <c r="AD104" i="5"/>
  <c r="AA104" i="5"/>
  <c r="X104" i="5"/>
  <c r="U104" i="5"/>
  <c r="R104" i="5"/>
  <c r="O104" i="5"/>
  <c r="L104" i="5"/>
  <c r="K104" i="5"/>
  <c r="I104" i="5"/>
  <c r="H104" i="5"/>
  <c r="G104" i="5"/>
  <c r="BH103" i="5"/>
  <c r="BE103" i="5"/>
  <c r="BB103" i="5"/>
  <c r="AY103" i="5"/>
  <c r="AV103" i="5"/>
  <c r="AS103" i="5"/>
  <c r="AP103" i="5"/>
  <c r="AM103" i="5"/>
  <c r="AJ103" i="5"/>
  <c r="AG103" i="5"/>
  <c r="AD103" i="5"/>
  <c r="AA103" i="5"/>
  <c r="X103" i="5"/>
  <c r="U103" i="5"/>
  <c r="R103" i="5"/>
  <c r="O103" i="5"/>
  <c r="L103" i="5"/>
  <c r="K103" i="5"/>
  <c r="I103" i="5"/>
  <c r="H103" i="5"/>
  <c r="G103" i="5"/>
  <c r="BH102" i="5"/>
  <c r="BE102" i="5"/>
  <c r="BB102" i="5"/>
  <c r="AY102" i="5"/>
  <c r="AV102" i="5"/>
  <c r="AS102" i="5"/>
  <c r="AP102" i="5"/>
  <c r="AM102" i="5"/>
  <c r="AJ102" i="5"/>
  <c r="AG102" i="5"/>
  <c r="AD102" i="5"/>
  <c r="AA102" i="5"/>
  <c r="X102" i="5"/>
  <c r="U102" i="5"/>
  <c r="R102" i="5"/>
  <c r="O102" i="5"/>
  <c r="L102" i="5"/>
  <c r="K102" i="5"/>
  <c r="I102" i="5"/>
  <c r="H102" i="5"/>
  <c r="G102" i="5"/>
  <c r="BH101" i="5"/>
  <c r="BE101" i="5"/>
  <c r="BB101" i="5"/>
  <c r="AY101" i="5"/>
  <c r="AV101" i="5"/>
  <c r="AS101" i="5"/>
  <c r="AP101" i="5"/>
  <c r="AM101" i="5"/>
  <c r="AJ101" i="5"/>
  <c r="AG101" i="5"/>
  <c r="AD101" i="5"/>
  <c r="AA101" i="5"/>
  <c r="X101" i="5"/>
  <c r="U101" i="5"/>
  <c r="R101" i="5"/>
  <c r="O101" i="5"/>
  <c r="L101" i="5"/>
  <c r="K101" i="5"/>
  <c r="I101" i="5"/>
  <c r="H101" i="5"/>
  <c r="G101" i="5"/>
  <c r="BH100" i="5"/>
  <c r="BE100" i="5"/>
  <c r="BB100" i="5"/>
  <c r="AY100" i="5"/>
  <c r="AV100" i="5"/>
  <c r="AS100" i="5"/>
  <c r="AP100" i="5"/>
  <c r="AM100" i="5"/>
  <c r="AJ100" i="5"/>
  <c r="AG100" i="5"/>
  <c r="AD100" i="5"/>
  <c r="AA100" i="5"/>
  <c r="X100" i="5"/>
  <c r="U100" i="5"/>
  <c r="R100" i="5"/>
  <c r="O100" i="5"/>
  <c r="L100" i="5"/>
  <c r="K100" i="5"/>
  <c r="I100" i="5"/>
  <c r="H100" i="5"/>
  <c r="G100" i="5"/>
  <c r="BH99" i="5"/>
  <c r="BE99" i="5"/>
  <c r="BB99" i="5"/>
  <c r="AY99" i="5"/>
  <c r="AV99" i="5"/>
  <c r="AS99" i="5"/>
  <c r="AP99" i="5"/>
  <c r="AM99" i="5"/>
  <c r="AJ99" i="5"/>
  <c r="AG99" i="5"/>
  <c r="AD99" i="5"/>
  <c r="AA99" i="5"/>
  <c r="X99" i="5"/>
  <c r="U99" i="5"/>
  <c r="R99" i="5"/>
  <c r="O99" i="5"/>
  <c r="L99" i="5"/>
  <c r="K99" i="5"/>
  <c r="I99" i="5"/>
  <c r="H99" i="5"/>
  <c r="G99" i="5"/>
  <c r="AP98" i="5"/>
  <c r="AO98" i="5"/>
  <c r="AN98" i="5"/>
  <c r="AM98" i="5"/>
  <c r="AL98" i="5"/>
  <c r="AK98" i="5"/>
  <c r="AJ98" i="5"/>
  <c r="AI98" i="5"/>
  <c r="AH98" i="5"/>
  <c r="AG98" i="5"/>
  <c r="AF98" i="5"/>
  <c r="AE98" i="5"/>
  <c r="AD98" i="5"/>
  <c r="AC98" i="5"/>
  <c r="AB98" i="5"/>
  <c r="AA98" i="5"/>
  <c r="Z98" i="5"/>
  <c r="Y98" i="5"/>
  <c r="X98" i="5"/>
  <c r="W98" i="5"/>
  <c r="V98" i="5"/>
  <c r="U98" i="5"/>
  <c r="T98" i="5"/>
  <c r="S98" i="5"/>
  <c r="R98" i="5"/>
  <c r="Q98" i="5"/>
  <c r="P98" i="5"/>
  <c r="O98" i="5"/>
  <c r="N98" i="5"/>
  <c r="M98" i="5"/>
  <c r="L98" i="5"/>
  <c r="K98" i="5"/>
  <c r="I98" i="5"/>
  <c r="H98" i="5"/>
  <c r="G98" i="5"/>
  <c r="AP97" i="5"/>
  <c r="AO97" i="5"/>
  <c r="AN97" i="5"/>
  <c r="AM97" i="5"/>
  <c r="AL97" i="5"/>
  <c r="AK97" i="5"/>
  <c r="AJ97" i="5"/>
  <c r="AI97" i="5"/>
  <c r="AH97" i="5"/>
  <c r="AG97" i="5"/>
  <c r="AF97" i="5"/>
  <c r="AE97" i="5"/>
  <c r="AD97" i="5"/>
  <c r="AC97" i="5"/>
  <c r="AB97" i="5"/>
  <c r="AA97" i="5"/>
  <c r="Z97" i="5"/>
  <c r="Y97" i="5"/>
  <c r="X97" i="5"/>
  <c r="W97" i="5"/>
  <c r="V97" i="5"/>
  <c r="U97" i="5"/>
  <c r="T97" i="5"/>
  <c r="S97" i="5"/>
  <c r="R97" i="5"/>
  <c r="Q97" i="5"/>
  <c r="P97" i="5"/>
  <c r="O97" i="5"/>
  <c r="N97" i="5"/>
  <c r="M97" i="5"/>
  <c r="L97" i="5"/>
  <c r="K97" i="5"/>
  <c r="I97" i="5"/>
  <c r="H97" i="5"/>
  <c r="G97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K96" i="5"/>
  <c r="I96" i="5"/>
  <c r="H96" i="5"/>
  <c r="G96" i="5"/>
  <c r="AP95" i="5"/>
  <c r="AO95" i="5"/>
  <c r="AN95" i="5"/>
  <c r="AM95" i="5"/>
  <c r="AL95" i="5"/>
  <c r="AK95" i="5"/>
  <c r="AJ95" i="5"/>
  <c r="AI95" i="5"/>
  <c r="AH95" i="5"/>
  <c r="AG95" i="5"/>
  <c r="AF95" i="5"/>
  <c r="AE95" i="5"/>
  <c r="AD95" i="5"/>
  <c r="AC95" i="5"/>
  <c r="AB95" i="5"/>
  <c r="AA95" i="5"/>
  <c r="Z95" i="5"/>
  <c r="Y95" i="5"/>
  <c r="X95" i="5"/>
  <c r="W95" i="5"/>
  <c r="V95" i="5"/>
  <c r="U95" i="5"/>
  <c r="T95" i="5"/>
  <c r="S95" i="5"/>
  <c r="R95" i="5"/>
  <c r="Q95" i="5"/>
  <c r="P95" i="5"/>
  <c r="O95" i="5"/>
  <c r="N95" i="5"/>
  <c r="M95" i="5"/>
  <c r="L95" i="5"/>
  <c r="K95" i="5"/>
  <c r="I95" i="5"/>
  <c r="H95" i="5"/>
  <c r="G95" i="5"/>
  <c r="AP94" i="5"/>
  <c r="AO9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K94" i="5"/>
  <c r="I94" i="5"/>
  <c r="H94" i="5"/>
  <c r="G94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U93" i="5"/>
  <c r="T93" i="5"/>
  <c r="S93" i="5"/>
  <c r="R93" i="5"/>
  <c r="Q93" i="5"/>
  <c r="P93" i="5"/>
  <c r="O93" i="5"/>
  <c r="N93" i="5"/>
  <c r="M93" i="5"/>
  <c r="L93" i="5"/>
  <c r="K93" i="5"/>
  <c r="I93" i="5"/>
  <c r="H93" i="5"/>
  <c r="G93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I92" i="5"/>
  <c r="H92" i="5"/>
  <c r="G92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K91" i="5"/>
  <c r="I91" i="5"/>
  <c r="H91" i="5"/>
  <c r="G91" i="5"/>
  <c r="AP90" i="5"/>
  <c r="AO90" i="5"/>
  <c r="AN90" i="5"/>
  <c r="AM90" i="5"/>
  <c r="AL90" i="5"/>
  <c r="AK90" i="5"/>
  <c r="AJ90" i="5"/>
  <c r="AI90" i="5"/>
  <c r="AH90" i="5"/>
  <c r="AG90" i="5"/>
  <c r="AF90" i="5"/>
  <c r="AE90" i="5"/>
  <c r="AD90" i="5"/>
  <c r="AC90" i="5"/>
  <c r="AB90" i="5"/>
  <c r="AA90" i="5"/>
  <c r="Z90" i="5"/>
  <c r="Y90" i="5"/>
  <c r="X90" i="5"/>
  <c r="W90" i="5"/>
  <c r="V90" i="5"/>
  <c r="U90" i="5"/>
  <c r="T90" i="5"/>
  <c r="S90" i="5"/>
  <c r="R90" i="5"/>
  <c r="Q90" i="5"/>
  <c r="P90" i="5"/>
  <c r="O90" i="5"/>
  <c r="N90" i="5"/>
  <c r="M90" i="5"/>
  <c r="L90" i="5"/>
  <c r="K90" i="5"/>
  <c r="I90" i="5"/>
  <c r="H90" i="5"/>
  <c r="G90" i="5"/>
  <c r="AP89" i="5"/>
  <c r="AM89" i="5"/>
  <c r="AJ89" i="5"/>
  <c r="AG89" i="5"/>
  <c r="AD89" i="5"/>
  <c r="AA89" i="5"/>
  <c r="X89" i="5"/>
  <c r="U89" i="5"/>
  <c r="R89" i="5"/>
  <c r="O89" i="5"/>
  <c r="L89" i="5"/>
  <c r="K89" i="5"/>
  <c r="I89" i="5"/>
  <c r="H89" i="5"/>
  <c r="G89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K88" i="5"/>
  <c r="I88" i="5"/>
  <c r="H88" i="5"/>
  <c r="G88" i="5"/>
  <c r="AP87" i="5"/>
  <c r="AO87" i="5"/>
  <c r="AN87" i="5"/>
  <c r="AM87" i="5"/>
  <c r="AL87" i="5"/>
  <c r="AK87" i="5"/>
  <c r="AJ87" i="5"/>
  <c r="AI87" i="5"/>
  <c r="AH87" i="5"/>
  <c r="AG87" i="5"/>
  <c r="AF87" i="5"/>
  <c r="AE87" i="5"/>
  <c r="AD87" i="5"/>
  <c r="AC87" i="5"/>
  <c r="AB87" i="5"/>
  <c r="AA87" i="5"/>
  <c r="Z87" i="5"/>
  <c r="Y87" i="5"/>
  <c r="X87" i="5"/>
  <c r="W87" i="5"/>
  <c r="V87" i="5"/>
  <c r="U87" i="5"/>
  <c r="T87" i="5"/>
  <c r="S87" i="5"/>
  <c r="R87" i="5"/>
  <c r="Q87" i="5"/>
  <c r="P87" i="5"/>
  <c r="O87" i="5"/>
  <c r="N87" i="5"/>
  <c r="M87" i="5"/>
  <c r="L87" i="5"/>
  <c r="K87" i="5"/>
  <c r="I87" i="5"/>
  <c r="H87" i="5"/>
  <c r="G87" i="5"/>
  <c r="AP86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I86" i="5"/>
  <c r="H86" i="5"/>
  <c r="G86" i="5"/>
  <c r="AP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K85" i="5"/>
  <c r="I85" i="5"/>
  <c r="H85" i="5"/>
  <c r="G85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V84" i="5"/>
  <c r="U84" i="5"/>
  <c r="T84" i="5"/>
  <c r="S84" i="5"/>
  <c r="R84" i="5"/>
  <c r="Q84" i="5"/>
  <c r="P84" i="5"/>
  <c r="O84" i="5"/>
  <c r="N84" i="5"/>
  <c r="M84" i="5"/>
  <c r="L84" i="5"/>
  <c r="K84" i="5"/>
  <c r="I84" i="5"/>
  <c r="H84" i="5"/>
  <c r="G84" i="5"/>
  <c r="AP83" i="5"/>
  <c r="AO83" i="5"/>
  <c r="AN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Q83" i="5"/>
  <c r="P83" i="5"/>
  <c r="O83" i="5"/>
  <c r="N83" i="5"/>
  <c r="M83" i="5"/>
  <c r="L83" i="5"/>
  <c r="K83" i="5"/>
  <c r="I83" i="5"/>
  <c r="H83" i="5"/>
  <c r="G83" i="5"/>
  <c r="AP82" i="5"/>
  <c r="AO82" i="5"/>
  <c r="AN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W82" i="5"/>
  <c r="V82" i="5"/>
  <c r="U82" i="5"/>
  <c r="T82" i="5"/>
  <c r="S82" i="5"/>
  <c r="R82" i="5"/>
  <c r="Q82" i="5"/>
  <c r="P82" i="5"/>
  <c r="O82" i="5"/>
  <c r="N82" i="5"/>
  <c r="M82" i="5"/>
  <c r="L82" i="5"/>
  <c r="K82" i="5"/>
  <c r="I82" i="5"/>
  <c r="H82" i="5"/>
  <c r="G82" i="5"/>
  <c r="AP81" i="5"/>
  <c r="AO81" i="5"/>
  <c r="AN81" i="5"/>
  <c r="AM81" i="5"/>
  <c r="AL81" i="5"/>
  <c r="AK81" i="5"/>
  <c r="AJ81" i="5"/>
  <c r="AI81" i="5"/>
  <c r="AH81" i="5"/>
  <c r="AG81" i="5"/>
  <c r="AF81" i="5"/>
  <c r="AE81" i="5"/>
  <c r="AD81" i="5"/>
  <c r="AC81" i="5"/>
  <c r="AB81" i="5"/>
  <c r="AA81" i="5"/>
  <c r="Z81" i="5"/>
  <c r="Y81" i="5"/>
  <c r="X81" i="5"/>
  <c r="W81" i="5"/>
  <c r="V81" i="5"/>
  <c r="U81" i="5"/>
  <c r="T81" i="5"/>
  <c r="S81" i="5"/>
  <c r="R81" i="5"/>
  <c r="Q81" i="5"/>
  <c r="P81" i="5"/>
  <c r="O81" i="5"/>
  <c r="N81" i="5"/>
  <c r="M81" i="5"/>
  <c r="L81" i="5"/>
  <c r="K81" i="5"/>
  <c r="I81" i="5"/>
  <c r="H81" i="5"/>
  <c r="G81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I80" i="5"/>
  <c r="H80" i="5"/>
  <c r="G80" i="5"/>
  <c r="AP79" i="5"/>
  <c r="AO79" i="5"/>
  <c r="AN79" i="5"/>
  <c r="AM79" i="5"/>
  <c r="AL79" i="5"/>
  <c r="AK79" i="5"/>
  <c r="AJ79" i="5"/>
  <c r="AI79" i="5"/>
  <c r="AH79" i="5"/>
  <c r="AG79" i="5"/>
  <c r="AF79" i="5"/>
  <c r="AE79" i="5"/>
  <c r="AD79" i="5"/>
  <c r="AC79" i="5"/>
  <c r="AB79" i="5"/>
  <c r="AA79" i="5"/>
  <c r="Z79" i="5"/>
  <c r="Y79" i="5"/>
  <c r="X79" i="5"/>
  <c r="W79" i="5"/>
  <c r="V79" i="5"/>
  <c r="U79" i="5"/>
  <c r="T79" i="5"/>
  <c r="S79" i="5"/>
  <c r="R79" i="5"/>
  <c r="Q79" i="5"/>
  <c r="P79" i="5"/>
  <c r="O79" i="5"/>
  <c r="N79" i="5"/>
  <c r="M79" i="5"/>
  <c r="L79" i="5"/>
  <c r="K79" i="5"/>
  <c r="I79" i="5"/>
  <c r="H79" i="5"/>
  <c r="G79" i="5"/>
  <c r="AP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I78" i="5"/>
  <c r="H78" i="5"/>
  <c r="G78" i="5"/>
  <c r="AP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I77" i="5"/>
  <c r="H77" i="5"/>
  <c r="G77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I76" i="5"/>
  <c r="H76" i="5"/>
  <c r="G76" i="5"/>
  <c r="AP75" i="5"/>
  <c r="AO75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I75" i="5"/>
  <c r="H75" i="5"/>
  <c r="G75" i="5"/>
  <c r="AP74" i="5"/>
  <c r="AM74" i="5"/>
  <c r="AL74" i="5"/>
  <c r="AK74" i="5"/>
  <c r="AJ74" i="5"/>
  <c r="AI74" i="5"/>
  <c r="AH74" i="5"/>
  <c r="AG74" i="5"/>
  <c r="AF74" i="5"/>
  <c r="AE74" i="5"/>
  <c r="AD74" i="5"/>
  <c r="AC74" i="5"/>
  <c r="AB74" i="5"/>
  <c r="AA74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I74" i="5"/>
  <c r="H74" i="5"/>
  <c r="G74" i="5"/>
  <c r="AP73" i="5"/>
  <c r="AM73" i="5"/>
  <c r="AJ73" i="5"/>
  <c r="AG73" i="5"/>
  <c r="AD73" i="5"/>
  <c r="AA73" i="5"/>
  <c r="X73" i="5"/>
  <c r="U73" i="5"/>
  <c r="R73" i="5"/>
  <c r="O73" i="5"/>
  <c r="L73" i="5"/>
  <c r="K73" i="5"/>
  <c r="I73" i="5"/>
  <c r="H73" i="5"/>
  <c r="G73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I72" i="5"/>
  <c r="H72" i="5"/>
  <c r="G72" i="5"/>
  <c r="AP71" i="5"/>
  <c r="AO71" i="5"/>
  <c r="AN71" i="5"/>
  <c r="AM71" i="5"/>
  <c r="AL71" i="5"/>
  <c r="AK71" i="5"/>
  <c r="AJ71" i="5"/>
  <c r="AI71" i="5"/>
  <c r="AH71" i="5"/>
  <c r="AG71" i="5"/>
  <c r="AF71" i="5"/>
  <c r="AE71" i="5"/>
  <c r="AD71" i="5"/>
  <c r="AA71" i="5"/>
  <c r="Z71" i="5"/>
  <c r="Y71" i="5"/>
  <c r="X71" i="5"/>
  <c r="W71" i="5"/>
  <c r="V71" i="5"/>
  <c r="U71" i="5"/>
  <c r="T71" i="5"/>
  <c r="S71" i="5"/>
  <c r="R71" i="5"/>
  <c r="Q71" i="5"/>
  <c r="P71" i="5"/>
  <c r="O71" i="5"/>
  <c r="N71" i="5"/>
  <c r="M71" i="5"/>
  <c r="L71" i="5"/>
  <c r="K71" i="5"/>
  <c r="I71" i="5"/>
  <c r="H71" i="5"/>
  <c r="G71" i="5"/>
  <c r="AP70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I70" i="5"/>
  <c r="H70" i="5"/>
  <c r="G70" i="5"/>
  <c r="AP69" i="5"/>
  <c r="AO69" i="5"/>
  <c r="AN69" i="5"/>
  <c r="AM69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I69" i="5"/>
  <c r="H69" i="5"/>
  <c r="G69" i="5"/>
  <c r="AP68" i="5"/>
  <c r="AO68" i="5"/>
  <c r="AN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Q68" i="5"/>
  <c r="P68" i="5"/>
  <c r="O68" i="5"/>
  <c r="N68" i="5"/>
  <c r="M68" i="5"/>
  <c r="L68" i="5"/>
  <c r="K68" i="5"/>
  <c r="I68" i="5"/>
  <c r="H68" i="5"/>
  <c r="G68" i="5"/>
  <c r="AP67" i="5"/>
  <c r="AO67" i="5"/>
  <c r="AN67" i="5"/>
  <c r="AM67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R67" i="5"/>
  <c r="Q67" i="5"/>
  <c r="P67" i="5"/>
  <c r="O67" i="5"/>
  <c r="N67" i="5"/>
  <c r="M67" i="5"/>
  <c r="L67" i="5"/>
  <c r="K67" i="5"/>
  <c r="I67" i="5"/>
  <c r="H67" i="5"/>
  <c r="G67" i="5"/>
  <c r="AP66" i="5"/>
  <c r="AO66" i="5"/>
  <c r="AN66" i="5"/>
  <c r="AM66" i="5"/>
  <c r="AL66" i="5"/>
  <c r="AK66" i="5"/>
  <c r="AJ66" i="5"/>
  <c r="AI66" i="5"/>
  <c r="AH66" i="5"/>
  <c r="AG66" i="5"/>
  <c r="AF66" i="5"/>
  <c r="AE66" i="5"/>
  <c r="AD66" i="5"/>
  <c r="AC66" i="5"/>
  <c r="AB66" i="5"/>
  <c r="AA66" i="5"/>
  <c r="Z66" i="5"/>
  <c r="Y66" i="5"/>
  <c r="X66" i="5"/>
  <c r="W66" i="5"/>
  <c r="V66" i="5"/>
  <c r="U66" i="5"/>
  <c r="T66" i="5"/>
  <c r="S66" i="5"/>
  <c r="R66" i="5"/>
  <c r="Q66" i="5"/>
  <c r="P66" i="5"/>
  <c r="O66" i="5"/>
  <c r="N66" i="5"/>
  <c r="M66" i="5"/>
  <c r="L66" i="5"/>
  <c r="K66" i="5"/>
  <c r="I66" i="5"/>
  <c r="H66" i="5"/>
  <c r="G66" i="5"/>
  <c r="AP65" i="5"/>
  <c r="AO65" i="5"/>
  <c r="AN65" i="5"/>
  <c r="AM65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Y65" i="5"/>
  <c r="X65" i="5"/>
  <c r="W65" i="5"/>
  <c r="V65" i="5"/>
  <c r="U65" i="5"/>
  <c r="T65" i="5"/>
  <c r="S65" i="5"/>
  <c r="R65" i="5"/>
  <c r="Q65" i="5"/>
  <c r="P65" i="5"/>
  <c r="O65" i="5"/>
  <c r="N65" i="5"/>
  <c r="M65" i="5"/>
  <c r="L65" i="5"/>
  <c r="K65" i="5"/>
  <c r="I65" i="5"/>
  <c r="H65" i="5"/>
  <c r="G65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I64" i="5"/>
  <c r="H64" i="5"/>
  <c r="G64" i="5"/>
  <c r="AP63" i="5"/>
  <c r="AO63" i="5"/>
  <c r="AN63" i="5"/>
  <c r="AM63" i="5"/>
  <c r="AL63" i="5"/>
  <c r="AK63" i="5"/>
  <c r="AJ63" i="5"/>
  <c r="AI63" i="5"/>
  <c r="AH63" i="5"/>
  <c r="AG63" i="5"/>
  <c r="AF63" i="5"/>
  <c r="AE63" i="5"/>
  <c r="AD63" i="5"/>
  <c r="AC63" i="5"/>
  <c r="AB63" i="5"/>
  <c r="AA63" i="5"/>
  <c r="Z63" i="5"/>
  <c r="Y63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I63" i="5"/>
  <c r="H63" i="5"/>
  <c r="G63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I62" i="5"/>
  <c r="H62" i="5"/>
  <c r="G62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I61" i="5"/>
  <c r="H61" i="5"/>
  <c r="G61" i="5"/>
  <c r="AP60" i="5"/>
  <c r="AO60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I60" i="5"/>
  <c r="H60" i="5"/>
  <c r="G60" i="5"/>
  <c r="AP59" i="5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I59" i="5"/>
  <c r="H59" i="5"/>
  <c r="G59" i="5"/>
  <c r="AP58" i="5"/>
  <c r="AO58" i="5"/>
  <c r="AN58" i="5"/>
  <c r="AM58" i="5"/>
  <c r="AL58" i="5"/>
  <c r="AK58" i="5"/>
  <c r="AJ58" i="5"/>
  <c r="AI58" i="5"/>
  <c r="AH58" i="5"/>
  <c r="AG58" i="5"/>
  <c r="AF58" i="5"/>
  <c r="AE58" i="5"/>
  <c r="AD58" i="5"/>
  <c r="AC58" i="5"/>
  <c r="AB58" i="5"/>
  <c r="AA58" i="5"/>
  <c r="Z58" i="5"/>
  <c r="Y58" i="5"/>
  <c r="X58" i="5"/>
  <c r="W58" i="5"/>
  <c r="V58" i="5"/>
  <c r="U58" i="5"/>
  <c r="T58" i="5"/>
  <c r="S58" i="5"/>
  <c r="R58" i="5"/>
  <c r="Q58" i="5"/>
  <c r="P58" i="5"/>
  <c r="O58" i="5"/>
  <c r="N58" i="5"/>
  <c r="M58" i="5"/>
  <c r="L58" i="5"/>
  <c r="K58" i="5"/>
  <c r="I58" i="5"/>
  <c r="H58" i="5"/>
  <c r="G58" i="5"/>
  <c r="AP57" i="5"/>
  <c r="AO57" i="5"/>
  <c r="AN57" i="5"/>
  <c r="AM57" i="5"/>
  <c r="AL57" i="5"/>
  <c r="AK57" i="5"/>
  <c r="AJ57" i="5"/>
  <c r="AI57" i="5"/>
  <c r="AH57" i="5"/>
  <c r="AG57" i="5"/>
  <c r="AF57" i="5"/>
  <c r="AE57" i="5"/>
  <c r="AD57" i="5"/>
  <c r="AC57" i="5"/>
  <c r="AB57" i="5"/>
  <c r="AA57" i="5"/>
  <c r="Z57" i="5"/>
  <c r="Y57" i="5"/>
  <c r="X57" i="5"/>
  <c r="W57" i="5"/>
  <c r="V57" i="5"/>
  <c r="U57" i="5"/>
  <c r="T57" i="5"/>
  <c r="S57" i="5"/>
  <c r="R57" i="5"/>
  <c r="Q57" i="5"/>
  <c r="P57" i="5"/>
  <c r="O57" i="5"/>
  <c r="N57" i="5"/>
  <c r="M57" i="5"/>
  <c r="L57" i="5"/>
  <c r="K57" i="5"/>
  <c r="I57" i="5"/>
  <c r="H57" i="5"/>
  <c r="G57" i="5"/>
  <c r="AP56" i="5"/>
  <c r="AM56" i="5"/>
  <c r="AJ56" i="5"/>
  <c r="AG56" i="5"/>
  <c r="AD56" i="5"/>
  <c r="AA56" i="5"/>
  <c r="X56" i="5"/>
  <c r="U56" i="5"/>
  <c r="R56" i="5"/>
  <c r="O56" i="5"/>
  <c r="L56" i="5"/>
  <c r="K56" i="5"/>
  <c r="I56" i="5"/>
  <c r="H56" i="5"/>
  <c r="G56" i="5"/>
  <c r="AP55" i="5"/>
  <c r="AO55" i="5"/>
  <c r="AN55" i="5"/>
  <c r="AM55" i="5"/>
  <c r="AL55" i="5"/>
  <c r="AK55" i="5"/>
  <c r="AJ55" i="5"/>
  <c r="AI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L55" i="5"/>
  <c r="K55" i="5"/>
  <c r="I55" i="5"/>
  <c r="H55" i="5"/>
  <c r="G55" i="5"/>
  <c r="AP54" i="5"/>
  <c r="AM54" i="5"/>
  <c r="AJ54" i="5"/>
  <c r="AG54" i="5"/>
  <c r="AD54" i="5"/>
  <c r="AA54" i="5"/>
  <c r="X54" i="5"/>
  <c r="U54" i="5"/>
  <c r="R54" i="5"/>
  <c r="O54" i="5"/>
  <c r="L54" i="5"/>
  <c r="K54" i="5"/>
  <c r="I54" i="5"/>
  <c r="H54" i="5"/>
  <c r="G54" i="5"/>
  <c r="E54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I53" i="5"/>
  <c r="H53" i="5"/>
  <c r="G53" i="5"/>
  <c r="E53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I52" i="5"/>
  <c r="H52" i="5"/>
  <c r="G52" i="5"/>
  <c r="E52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I51" i="5"/>
  <c r="H51" i="5"/>
  <c r="G51" i="5"/>
  <c r="E51" i="5"/>
  <c r="AP50" i="5"/>
  <c r="AO50" i="5"/>
  <c r="AN50" i="5"/>
  <c r="AM50" i="5"/>
  <c r="AL50" i="5"/>
  <c r="AK50" i="5"/>
  <c r="AJ50" i="5"/>
  <c r="AI50" i="5"/>
  <c r="AH50" i="5"/>
  <c r="AG50" i="5"/>
  <c r="AF50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I50" i="5"/>
  <c r="H50" i="5"/>
  <c r="G50" i="5"/>
  <c r="E50" i="5"/>
  <c r="AP49" i="5"/>
  <c r="AO49" i="5"/>
  <c r="AN49" i="5"/>
  <c r="AM49" i="5"/>
  <c r="AL49" i="5"/>
  <c r="AK49" i="5"/>
  <c r="AJ49" i="5"/>
  <c r="AI49" i="5"/>
  <c r="AH49" i="5"/>
  <c r="AG49" i="5"/>
  <c r="AF49" i="5"/>
  <c r="AE49" i="5"/>
  <c r="AD49" i="5"/>
  <c r="AC49" i="5"/>
  <c r="AB49" i="5"/>
  <c r="AA49" i="5"/>
  <c r="Z49" i="5"/>
  <c r="Y49" i="5"/>
  <c r="X49" i="5"/>
  <c r="W49" i="5"/>
  <c r="V49" i="5"/>
  <c r="U49" i="5"/>
  <c r="T49" i="5"/>
  <c r="S49" i="5"/>
  <c r="R49" i="5"/>
  <c r="Q49" i="5"/>
  <c r="P49" i="5"/>
  <c r="O49" i="5"/>
  <c r="N49" i="5"/>
  <c r="M49" i="5"/>
  <c r="L49" i="5"/>
  <c r="K49" i="5"/>
  <c r="I49" i="5"/>
  <c r="H49" i="5"/>
  <c r="G49" i="5"/>
  <c r="E49" i="5"/>
  <c r="AP48" i="5"/>
  <c r="AO48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I48" i="5"/>
  <c r="H48" i="5"/>
  <c r="G48" i="5"/>
  <c r="E48" i="5"/>
  <c r="AP47" i="5"/>
  <c r="AO47" i="5"/>
  <c r="AN47" i="5"/>
  <c r="AM47" i="5"/>
  <c r="AL47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I47" i="5"/>
  <c r="H47" i="5"/>
  <c r="G47" i="5"/>
  <c r="E47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I46" i="5"/>
  <c r="H46" i="5"/>
  <c r="G46" i="5"/>
  <c r="E46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I45" i="5"/>
  <c r="H45" i="5"/>
  <c r="G45" i="5"/>
  <c r="E45" i="5"/>
  <c r="AP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I44" i="5"/>
  <c r="H44" i="5"/>
  <c r="G44" i="5"/>
  <c r="E44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I43" i="5"/>
  <c r="H43" i="5"/>
  <c r="G43" i="5"/>
  <c r="E43" i="5"/>
  <c r="AP42" i="5"/>
  <c r="AO42" i="5"/>
  <c r="AN42" i="5"/>
  <c r="AM42" i="5"/>
  <c r="AL42" i="5"/>
  <c r="AK42" i="5"/>
  <c r="AJ42" i="5"/>
  <c r="AI42" i="5"/>
  <c r="AH42" i="5"/>
  <c r="AG42" i="5"/>
  <c r="AF42" i="5"/>
  <c r="AE42" i="5"/>
  <c r="AD42" i="5"/>
  <c r="AC42" i="5"/>
  <c r="AB42" i="5"/>
  <c r="AA42" i="5"/>
  <c r="Z42" i="5"/>
  <c r="Y42" i="5"/>
  <c r="X42" i="5"/>
  <c r="W42" i="5"/>
  <c r="V42" i="5"/>
  <c r="U42" i="5"/>
  <c r="T42" i="5"/>
  <c r="S42" i="5"/>
  <c r="R42" i="5"/>
  <c r="Q42" i="5"/>
  <c r="P42" i="5"/>
  <c r="O42" i="5"/>
  <c r="N42" i="5"/>
  <c r="M42" i="5"/>
  <c r="L42" i="5"/>
  <c r="K42" i="5"/>
  <c r="I42" i="5"/>
  <c r="H42" i="5"/>
  <c r="G42" i="5"/>
  <c r="E42" i="5"/>
  <c r="AP41" i="5"/>
  <c r="AO41" i="5"/>
  <c r="AN41" i="5"/>
  <c r="AM41" i="5"/>
  <c r="AL41" i="5"/>
  <c r="AK41" i="5"/>
  <c r="AJ41" i="5"/>
  <c r="AI41" i="5"/>
  <c r="AH41" i="5"/>
  <c r="AG41" i="5"/>
  <c r="AF41" i="5"/>
  <c r="AE41" i="5"/>
  <c r="AD41" i="5"/>
  <c r="AC41" i="5"/>
  <c r="AB41" i="5"/>
  <c r="AA41" i="5"/>
  <c r="Z41" i="5"/>
  <c r="Y41" i="5"/>
  <c r="X41" i="5"/>
  <c r="W41" i="5"/>
  <c r="V41" i="5"/>
  <c r="U41" i="5"/>
  <c r="T41" i="5"/>
  <c r="S41" i="5"/>
  <c r="R41" i="5"/>
  <c r="Q41" i="5"/>
  <c r="P41" i="5"/>
  <c r="O41" i="5"/>
  <c r="N41" i="5"/>
  <c r="M41" i="5"/>
  <c r="L41" i="5"/>
  <c r="K41" i="5"/>
  <c r="I41" i="5"/>
  <c r="H41" i="5"/>
  <c r="G41" i="5"/>
  <c r="E41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I40" i="5"/>
  <c r="H40" i="5"/>
  <c r="G40" i="5"/>
  <c r="E40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I39" i="5"/>
  <c r="H39" i="5"/>
  <c r="G39" i="5"/>
  <c r="E39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I38" i="5"/>
  <c r="H38" i="5"/>
  <c r="G38" i="5"/>
  <c r="E38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I37" i="5"/>
  <c r="H37" i="5"/>
  <c r="G37" i="5"/>
  <c r="E37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I36" i="5"/>
  <c r="H36" i="5"/>
  <c r="G36" i="5"/>
  <c r="E36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I35" i="5"/>
  <c r="H35" i="5"/>
  <c r="G35" i="5"/>
  <c r="E35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I34" i="5"/>
  <c r="H34" i="5"/>
  <c r="G34" i="5"/>
  <c r="E34" i="5"/>
  <c r="AP33" i="5"/>
  <c r="AO33" i="5"/>
  <c r="AN33" i="5"/>
  <c r="AM33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I33" i="5"/>
  <c r="H33" i="5"/>
  <c r="G33" i="5"/>
  <c r="E33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I32" i="5"/>
  <c r="H32" i="5"/>
  <c r="G32" i="5"/>
  <c r="E32" i="5"/>
  <c r="AP31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I31" i="5"/>
  <c r="H31" i="5"/>
  <c r="G31" i="5"/>
  <c r="E31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I30" i="5"/>
  <c r="H30" i="5"/>
  <c r="G30" i="5"/>
  <c r="E30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I29" i="5"/>
  <c r="H29" i="5"/>
  <c r="G29" i="5"/>
  <c r="E29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I28" i="5"/>
  <c r="H28" i="5"/>
  <c r="G28" i="5"/>
  <c r="E28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I27" i="5"/>
  <c r="H27" i="5"/>
  <c r="G27" i="5"/>
  <c r="E27" i="5"/>
  <c r="AP26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I26" i="5"/>
  <c r="H26" i="5"/>
  <c r="G26" i="5"/>
  <c r="E26" i="5"/>
  <c r="AP25" i="5"/>
  <c r="AO25" i="5"/>
  <c r="AN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I25" i="5"/>
  <c r="H25" i="5"/>
  <c r="G25" i="5"/>
  <c r="E25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I24" i="5"/>
  <c r="H24" i="5"/>
  <c r="G24" i="5"/>
  <c r="E24" i="5"/>
  <c r="AP23" i="5"/>
  <c r="AO23" i="5"/>
  <c r="AN23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I23" i="5"/>
  <c r="H23" i="5"/>
  <c r="G23" i="5"/>
  <c r="E23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I22" i="5"/>
  <c r="H22" i="5"/>
  <c r="G22" i="5"/>
  <c r="E22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I21" i="5"/>
  <c r="H21" i="5"/>
  <c r="G21" i="5"/>
  <c r="E21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I20" i="5"/>
  <c r="H20" i="5"/>
  <c r="G20" i="5"/>
  <c r="E20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I19" i="5"/>
  <c r="H19" i="5"/>
  <c r="G19" i="5"/>
  <c r="E19" i="5"/>
  <c r="AP18" i="5"/>
  <c r="AO18" i="5"/>
  <c r="AN18" i="5"/>
  <c r="AM18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I18" i="5"/>
  <c r="H18" i="5"/>
  <c r="G18" i="5"/>
  <c r="E18" i="5"/>
  <c r="AP17" i="5"/>
  <c r="AO17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I17" i="5"/>
  <c r="H17" i="5"/>
  <c r="G17" i="5"/>
  <c r="E17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I16" i="5"/>
  <c r="H16" i="5"/>
  <c r="G16" i="5"/>
  <c r="E16" i="5"/>
  <c r="AP15" i="5"/>
  <c r="AO15" i="5"/>
  <c r="AN15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I15" i="5"/>
  <c r="H15" i="5"/>
  <c r="G15" i="5"/>
  <c r="E15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I14" i="5"/>
  <c r="H14" i="5"/>
  <c r="G14" i="5"/>
  <c r="E14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I13" i="5"/>
  <c r="H13" i="5"/>
  <c r="G13" i="5"/>
  <c r="E13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I12" i="5"/>
  <c r="H12" i="5"/>
  <c r="G12" i="5"/>
  <c r="E12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I11" i="5"/>
  <c r="H11" i="5"/>
  <c r="G11" i="5"/>
  <c r="E11" i="5"/>
  <c r="AP10" i="5"/>
  <c r="AO10" i="5"/>
  <c r="AN10" i="5"/>
  <c r="AM10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I10" i="5"/>
  <c r="H10" i="5"/>
  <c r="G10" i="5"/>
  <c r="E10" i="5"/>
  <c r="AP9" i="5"/>
  <c r="AO9" i="5"/>
  <c r="AN9" i="5"/>
  <c r="AM9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I9" i="5"/>
  <c r="H9" i="5"/>
  <c r="G9" i="5"/>
  <c r="E9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I8" i="5"/>
  <c r="H8" i="5"/>
  <c r="G8" i="5"/>
  <c r="E8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I7" i="5"/>
  <c r="H7" i="5"/>
  <c r="G7" i="5"/>
  <c r="E7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I6" i="5"/>
  <c r="H6" i="5"/>
  <c r="G6" i="5"/>
  <c r="E6" i="5"/>
  <c r="BH5" i="5"/>
  <c r="BE5" i="5"/>
  <c r="BB5" i="5"/>
  <c r="AY5" i="5"/>
  <c r="AV5" i="5"/>
  <c r="AS5" i="5"/>
  <c r="AP5" i="5"/>
  <c r="AN5" i="5"/>
  <c r="AM5" i="5"/>
  <c r="AK5" i="5"/>
  <c r="AJ5" i="5"/>
  <c r="AH5" i="5"/>
  <c r="AG5" i="5"/>
  <c r="AE5" i="5"/>
  <c r="AD5" i="5"/>
  <c r="AB5" i="5"/>
  <c r="AA5" i="5"/>
  <c r="Y5" i="5"/>
  <c r="X5" i="5"/>
  <c r="V5" i="5"/>
  <c r="U5" i="5"/>
  <c r="S5" i="5"/>
  <c r="R5" i="5"/>
  <c r="P5" i="5"/>
  <c r="O5" i="5"/>
  <c r="M5" i="5"/>
  <c r="L5" i="5"/>
  <c r="J5" i="5"/>
  <c r="BF4" i="5"/>
  <c r="BC4" i="5"/>
  <c r="AZ4" i="5"/>
  <c r="AW4" i="5"/>
  <c r="AT4" i="5"/>
  <c r="AQ4" i="5"/>
  <c r="AP4" i="5"/>
  <c r="AN4" i="5"/>
  <c r="AM4" i="5"/>
  <c r="AK4" i="5"/>
  <c r="AJ4" i="5"/>
  <c r="AH4" i="5"/>
  <c r="AG4" i="5"/>
  <c r="AE4" i="5"/>
  <c r="AD4" i="5"/>
  <c r="AB4" i="5"/>
  <c r="AA4" i="5"/>
  <c r="Y4" i="5"/>
  <c r="X4" i="5"/>
  <c r="V4" i="5"/>
  <c r="U4" i="5"/>
  <c r="S4" i="5"/>
  <c r="R4" i="5"/>
  <c r="P4" i="5"/>
  <c r="O4" i="5"/>
  <c r="M4" i="5"/>
  <c r="J4" i="5"/>
  <c r="BH3" i="5"/>
  <c r="BG3" i="5"/>
  <c r="BF3" i="5"/>
  <c r="BE3" i="5"/>
  <c r="BD3" i="5"/>
  <c r="BC3" i="5"/>
  <c r="BB3" i="5"/>
  <c r="BA3" i="5"/>
  <c r="AZ3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  <c r="BF2" i="5"/>
  <c r="BC2" i="5"/>
  <c r="AZ2" i="5"/>
  <c r="AW2" i="5"/>
  <c r="AT2" i="5"/>
  <c r="AQ2" i="5"/>
  <c r="AN2" i="5"/>
  <c r="AK2" i="5"/>
  <c r="AH2" i="5"/>
  <c r="AE2" i="5"/>
  <c r="AB2" i="5"/>
  <c r="Y2" i="5"/>
  <c r="V2" i="5"/>
  <c r="S2" i="5"/>
  <c r="P2" i="5"/>
  <c r="M2" i="5"/>
  <c r="K2" i="5"/>
  <c r="J2" i="5"/>
  <c r="I2" i="5"/>
  <c r="H2" i="5"/>
  <c r="G2" i="5"/>
  <c r="I1" i="5"/>
  <c r="H1" i="5"/>
  <c r="G1" i="5"/>
  <c r="A1" i="5"/>
  <c r="R202" i="4"/>
  <c r="Q202" i="4"/>
  <c r="P202" i="4"/>
  <c r="O202" i="4"/>
  <c r="N202" i="4"/>
  <c r="M202" i="4"/>
  <c r="L202" i="4"/>
  <c r="K202" i="4"/>
  <c r="J202" i="4"/>
  <c r="I202" i="4"/>
  <c r="H202" i="4"/>
  <c r="G202" i="4"/>
  <c r="R201" i="4"/>
  <c r="Q201" i="4"/>
  <c r="P201" i="4"/>
  <c r="O201" i="4"/>
  <c r="N201" i="4"/>
  <c r="M201" i="4"/>
  <c r="L201" i="4"/>
  <c r="K201" i="4"/>
  <c r="J201" i="4"/>
  <c r="I201" i="4"/>
  <c r="H201" i="4"/>
  <c r="G201" i="4"/>
  <c r="R200" i="4"/>
  <c r="Q200" i="4"/>
  <c r="P200" i="4"/>
  <c r="O200" i="4"/>
  <c r="N200" i="4"/>
  <c r="M200" i="4"/>
  <c r="L200" i="4"/>
  <c r="K200" i="4"/>
  <c r="J200" i="4"/>
  <c r="I200" i="4"/>
  <c r="H200" i="4"/>
  <c r="G200" i="4"/>
  <c r="R199" i="4"/>
  <c r="Q199" i="4"/>
  <c r="P199" i="4"/>
  <c r="O199" i="4"/>
  <c r="N199" i="4"/>
  <c r="M199" i="4"/>
  <c r="L199" i="4"/>
  <c r="K199" i="4"/>
  <c r="J199" i="4"/>
  <c r="I199" i="4"/>
  <c r="H199" i="4"/>
  <c r="G199" i="4"/>
  <c r="R198" i="4"/>
  <c r="Q198" i="4"/>
  <c r="P198" i="4"/>
  <c r="O198" i="4"/>
  <c r="N198" i="4"/>
  <c r="M198" i="4"/>
  <c r="L198" i="4"/>
  <c r="K198" i="4"/>
  <c r="J198" i="4"/>
  <c r="I198" i="4"/>
  <c r="H198" i="4"/>
  <c r="G198" i="4"/>
  <c r="R197" i="4"/>
  <c r="Q197" i="4"/>
  <c r="P197" i="4"/>
  <c r="O197" i="4"/>
  <c r="N197" i="4"/>
  <c r="M197" i="4"/>
  <c r="L197" i="4"/>
  <c r="K197" i="4"/>
  <c r="J197" i="4"/>
  <c r="I197" i="4"/>
  <c r="H197" i="4"/>
  <c r="G197" i="4"/>
  <c r="R196" i="4"/>
  <c r="Q196" i="4"/>
  <c r="P196" i="4"/>
  <c r="O196" i="4"/>
  <c r="N196" i="4"/>
  <c r="M196" i="4"/>
  <c r="L196" i="4"/>
  <c r="K196" i="4"/>
  <c r="J196" i="4"/>
  <c r="I196" i="4"/>
  <c r="H196" i="4"/>
  <c r="G196" i="4"/>
  <c r="R195" i="4"/>
  <c r="Q195" i="4"/>
  <c r="P195" i="4"/>
  <c r="O195" i="4"/>
  <c r="N195" i="4"/>
  <c r="M195" i="4"/>
  <c r="L195" i="4"/>
  <c r="K195" i="4"/>
  <c r="J195" i="4"/>
  <c r="I195" i="4"/>
  <c r="H195" i="4"/>
  <c r="G195" i="4"/>
  <c r="R194" i="4"/>
  <c r="Q194" i="4"/>
  <c r="P194" i="4"/>
  <c r="O194" i="4"/>
  <c r="N194" i="4"/>
  <c r="M194" i="4"/>
  <c r="L194" i="4"/>
  <c r="K194" i="4"/>
  <c r="J194" i="4"/>
  <c r="I194" i="4"/>
  <c r="H194" i="4"/>
  <c r="G194" i="4"/>
  <c r="R193" i="4"/>
  <c r="Q193" i="4"/>
  <c r="P193" i="4"/>
  <c r="O193" i="4"/>
  <c r="N193" i="4"/>
  <c r="M193" i="4"/>
  <c r="L193" i="4"/>
  <c r="K193" i="4"/>
  <c r="J193" i="4"/>
  <c r="I193" i="4"/>
  <c r="H193" i="4"/>
  <c r="G193" i="4"/>
  <c r="R192" i="4"/>
  <c r="Q192" i="4"/>
  <c r="P192" i="4"/>
  <c r="O192" i="4"/>
  <c r="N192" i="4"/>
  <c r="M192" i="4"/>
  <c r="L192" i="4"/>
  <c r="K192" i="4"/>
  <c r="J192" i="4"/>
  <c r="I192" i="4"/>
  <c r="H192" i="4"/>
  <c r="G192" i="4"/>
  <c r="R191" i="4"/>
  <c r="Q191" i="4"/>
  <c r="P191" i="4"/>
  <c r="O191" i="4"/>
  <c r="N191" i="4"/>
  <c r="M191" i="4"/>
  <c r="L191" i="4"/>
  <c r="K191" i="4"/>
  <c r="J191" i="4"/>
  <c r="I191" i="4"/>
  <c r="H191" i="4"/>
  <c r="G191" i="4"/>
  <c r="R190" i="4"/>
  <c r="Q190" i="4"/>
  <c r="P190" i="4"/>
  <c r="O190" i="4"/>
  <c r="N190" i="4"/>
  <c r="M190" i="4"/>
  <c r="L190" i="4"/>
  <c r="K190" i="4"/>
  <c r="J190" i="4"/>
  <c r="I190" i="4"/>
  <c r="H190" i="4"/>
  <c r="G190" i="4"/>
  <c r="R189" i="4"/>
  <c r="Q189" i="4"/>
  <c r="P189" i="4"/>
  <c r="O189" i="4"/>
  <c r="N189" i="4"/>
  <c r="M189" i="4"/>
  <c r="L189" i="4"/>
  <c r="K189" i="4"/>
  <c r="J189" i="4"/>
  <c r="I189" i="4"/>
  <c r="H189" i="4"/>
  <c r="G189" i="4"/>
  <c r="R188" i="4"/>
  <c r="Q188" i="4"/>
  <c r="P188" i="4"/>
  <c r="O188" i="4"/>
  <c r="N188" i="4"/>
  <c r="M188" i="4"/>
  <c r="L188" i="4"/>
  <c r="K188" i="4"/>
  <c r="J188" i="4"/>
  <c r="I188" i="4"/>
  <c r="H188" i="4"/>
  <c r="G188" i="4"/>
  <c r="R187" i="4"/>
  <c r="Q187" i="4"/>
  <c r="P187" i="4"/>
  <c r="O187" i="4"/>
  <c r="N187" i="4"/>
  <c r="M187" i="4"/>
  <c r="L187" i="4"/>
  <c r="K187" i="4"/>
  <c r="J187" i="4"/>
  <c r="I187" i="4"/>
  <c r="H187" i="4"/>
  <c r="G187" i="4"/>
  <c r="R186" i="4"/>
  <c r="Q186" i="4"/>
  <c r="P186" i="4"/>
  <c r="O186" i="4"/>
  <c r="N186" i="4"/>
  <c r="M186" i="4"/>
  <c r="L186" i="4"/>
  <c r="K186" i="4"/>
  <c r="J186" i="4"/>
  <c r="I186" i="4"/>
  <c r="H186" i="4"/>
  <c r="G186" i="4"/>
  <c r="R185" i="4"/>
  <c r="Q185" i="4"/>
  <c r="P185" i="4"/>
  <c r="O185" i="4"/>
  <c r="N185" i="4"/>
  <c r="M185" i="4"/>
  <c r="L185" i="4"/>
  <c r="K185" i="4"/>
  <c r="J185" i="4"/>
  <c r="I185" i="4"/>
  <c r="H185" i="4"/>
  <c r="G185" i="4"/>
  <c r="R184" i="4"/>
  <c r="Q184" i="4"/>
  <c r="P184" i="4"/>
  <c r="O184" i="4"/>
  <c r="N184" i="4"/>
  <c r="M184" i="4"/>
  <c r="L184" i="4"/>
  <c r="K184" i="4"/>
  <c r="J184" i="4"/>
  <c r="I184" i="4"/>
  <c r="H184" i="4"/>
  <c r="G184" i="4"/>
  <c r="R183" i="4"/>
  <c r="Q183" i="4"/>
  <c r="P183" i="4"/>
  <c r="O183" i="4"/>
  <c r="N183" i="4"/>
  <c r="M183" i="4"/>
  <c r="L183" i="4"/>
  <c r="K183" i="4"/>
  <c r="J183" i="4"/>
  <c r="I183" i="4"/>
  <c r="H183" i="4"/>
  <c r="G183" i="4"/>
  <c r="R182" i="4"/>
  <c r="Q182" i="4"/>
  <c r="P182" i="4"/>
  <c r="O182" i="4"/>
  <c r="N182" i="4"/>
  <c r="M182" i="4"/>
  <c r="L182" i="4"/>
  <c r="K182" i="4"/>
  <c r="J182" i="4"/>
  <c r="I182" i="4"/>
  <c r="H182" i="4"/>
  <c r="G182" i="4"/>
  <c r="R181" i="4"/>
  <c r="Q181" i="4"/>
  <c r="P181" i="4"/>
  <c r="O181" i="4"/>
  <c r="N181" i="4"/>
  <c r="M181" i="4"/>
  <c r="L181" i="4"/>
  <c r="K181" i="4"/>
  <c r="J181" i="4"/>
  <c r="I181" i="4"/>
  <c r="H181" i="4"/>
  <c r="G181" i="4"/>
  <c r="R180" i="4"/>
  <c r="Q180" i="4"/>
  <c r="P180" i="4"/>
  <c r="O180" i="4"/>
  <c r="N180" i="4"/>
  <c r="M180" i="4"/>
  <c r="L180" i="4"/>
  <c r="K180" i="4"/>
  <c r="J180" i="4"/>
  <c r="I180" i="4"/>
  <c r="H180" i="4"/>
  <c r="G180" i="4"/>
  <c r="R179" i="4"/>
  <c r="Q179" i="4"/>
  <c r="P179" i="4"/>
  <c r="O179" i="4"/>
  <c r="N179" i="4"/>
  <c r="M179" i="4"/>
  <c r="L179" i="4"/>
  <c r="K179" i="4"/>
  <c r="J179" i="4"/>
  <c r="I179" i="4"/>
  <c r="H179" i="4"/>
  <c r="G179" i="4"/>
  <c r="R178" i="4"/>
  <c r="Q178" i="4"/>
  <c r="P178" i="4"/>
  <c r="O178" i="4"/>
  <c r="N178" i="4"/>
  <c r="M178" i="4"/>
  <c r="L178" i="4"/>
  <c r="K178" i="4"/>
  <c r="J178" i="4"/>
  <c r="I178" i="4"/>
  <c r="H178" i="4"/>
  <c r="G178" i="4"/>
  <c r="R177" i="4"/>
  <c r="Q177" i="4"/>
  <c r="P177" i="4"/>
  <c r="O177" i="4"/>
  <c r="N177" i="4"/>
  <c r="M177" i="4"/>
  <c r="L177" i="4"/>
  <c r="K177" i="4"/>
  <c r="J177" i="4"/>
  <c r="I177" i="4"/>
  <c r="H177" i="4"/>
  <c r="G177" i="4"/>
  <c r="R176" i="4"/>
  <c r="Q176" i="4"/>
  <c r="P176" i="4"/>
  <c r="O176" i="4"/>
  <c r="N176" i="4"/>
  <c r="M176" i="4"/>
  <c r="L176" i="4"/>
  <c r="K176" i="4"/>
  <c r="J176" i="4"/>
  <c r="I176" i="4"/>
  <c r="H176" i="4"/>
  <c r="G176" i="4"/>
  <c r="R175" i="4"/>
  <c r="Q175" i="4"/>
  <c r="P175" i="4"/>
  <c r="O175" i="4"/>
  <c r="N175" i="4"/>
  <c r="M175" i="4"/>
  <c r="L175" i="4"/>
  <c r="K175" i="4"/>
  <c r="J175" i="4"/>
  <c r="I175" i="4"/>
  <c r="H175" i="4"/>
  <c r="G175" i="4"/>
  <c r="R174" i="4"/>
  <c r="Q174" i="4"/>
  <c r="P174" i="4"/>
  <c r="O174" i="4"/>
  <c r="N174" i="4"/>
  <c r="M174" i="4"/>
  <c r="L174" i="4"/>
  <c r="K174" i="4"/>
  <c r="J174" i="4"/>
  <c r="I174" i="4"/>
  <c r="H174" i="4"/>
  <c r="G174" i="4"/>
  <c r="R173" i="4"/>
  <c r="Q173" i="4"/>
  <c r="P173" i="4"/>
  <c r="O173" i="4"/>
  <c r="N173" i="4"/>
  <c r="M173" i="4"/>
  <c r="L173" i="4"/>
  <c r="K173" i="4"/>
  <c r="J173" i="4"/>
  <c r="I173" i="4"/>
  <c r="H173" i="4"/>
  <c r="G173" i="4"/>
  <c r="R172" i="4"/>
  <c r="Q172" i="4"/>
  <c r="P172" i="4"/>
  <c r="O172" i="4"/>
  <c r="N172" i="4"/>
  <c r="M172" i="4"/>
  <c r="L172" i="4"/>
  <c r="K172" i="4"/>
  <c r="J172" i="4"/>
  <c r="I172" i="4"/>
  <c r="H172" i="4"/>
  <c r="G172" i="4"/>
  <c r="R171" i="4"/>
  <c r="Q171" i="4"/>
  <c r="P171" i="4"/>
  <c r="O171" i="4"/>
  <c r="N171" i="4"/>
  <c r="M171" i="4"/>
  <c r="L171" i="4"/>
  <c r="K171" i="4"/>
  <c r="J171" i="4"/>
  <c r="I171" i="4"/>
  <c r="H171" i="4"/>
  <c r="G171" i="4"/>
  <c r="R170" i="4"/>
  <c r="Q170" i="4"/>
  <c r="P170" i="4"/>
  <c r="O170" i="4"/>
  <c r="N170" i="4"/>
  <c r="M170" i="4"/>
  <c r="L170" i="4"/>
  <c r="K170" i="4"/>
  <c r="J170" i="4"/>
  <c r="I170" i="4"/>
  <c r="H170" i="4"/>
  <c r="G170" i="4"/>
  <c r="R169" i="4"/>
  <c r="Q169" i="4"/>
  <c r="P169" i="4"/>
  <c r="O169" i="4"/>
  <c r="N169" i="4"/>
  <c r="M169" i="4"/>
  <c r="L169" i="4"/>
  <c r="K169" i="4"/>
  <c r="J169" i="4"/>
  <c r="I169" i="4"/>
  <c r="H169" i="4"/>
  <c r="G169" i="4"/>
  <c r="R168" i="4"/>
  <c r="Q168" i="4"/>
  <c r="P168" i="4"/>
  <c r="O168" i="4"/>
  <c r="N168" i="4"/>
  <c r="M168" i="4"/>
  <c r="L168" i="4"/>
  <c r="K168" i="4"/>
  <c r="J168" i="4"/>
  <c r="I168" i="4"/>
  <c r="H168" i="4"/>
  <c r="G168" i="4"/>
  <c r="R167" i="4"/>
  <c r="Q167" i="4"/>
  <c r="P167" i="4"/>
  <c r="O167" i="4"/>
  <c r="N167" i="4"/>
  <c r="M167" i="4"/>
  <c r="L167" i="4"/>
  <c r="K167" i="4"/>
  <c r="J167" i="4"/>
  <c r="I167" i="4"/>
  <c r="H167" i="4"/>
  <c r="G167" i="4"/>
  <c r="R166" i="4"/>
  <c r="Q166" i="4"/>
  <c r="P166" i="4"/>
  <c r="O166" i="4"/>
  <c r="N166" i="4"/>
  <c r="M166" i="4"/>
  <c r="L166" i="4"/>
  <c r="K166" i="4"/>
  <c r="J166" i="4"/>
  <c r="I166" i="4"/>
  <c r="H166" i="4"/>
  <c r="G166" i="4"/>
  <c r="R165" i="4"/>
  <c r="Q165" i="4"/>
  <c r="P165" i="4"/>
  <c r="O165" i="4"/>
  <c r="N165" i="4"/>
  <c r="M165" i="4"/>
  <c r="L165" i="4"/>
  <c r="K165" i="4"/>
  <c r="J165" i="4"/>
  <c r="I165" i="4"/>
  <c r="H165" i="4"/>
  <c r="G165" i="4"/>
  <c r="R164" i="4"/>
  <c r="Q164" i="4"/>
  <c r="P164" i="4"/>
  <c r="O164" i="4"/>
  <c r="N164" i="4"/>
  <c r="M164" i="4"/>
  <c r="L164" i="4"/>
  <c r="K164" i="4"/>
  <c r="J164" i="4"/>
  <c r="I164" i="4"/>
  <c r="H164" i="4"/>
  <c r="G164" i="4"/>
  <c r="R163" i="4"/>
  <c r="Q163" i="4"/>
  <c r="P163" i="4"/>
  <c r="O163" i="4"/>
  <c r="N163" i="4"/>
  <c r="M163" i="4"/>
  <c r="L163" i="4"/>
  <c r="K163" i="4"/>
  <c r="J163" i="4"/>
  <c r="I163" i="4"/>
  <c r="H163" i="4"/>
  <c r="G163" i="4"/>
  <c r="R162" i="4"/>
  <c r="Q162" i="4"/>
  <c r="P162" i="4"/>
  <c r="O162" i="4"/>
  <c r="N162" i="4"/>
  <c r="M162" i="4"/>
  <c r="L162" i="4"/>
  <c r="K162" i="4"/>
  <c r="J162" i="4"/>
  <c r="I162" i="4"/>
  <c r="H162" i="4"/>
  <c r="G162" i="4"/>
  <c r="R161" i="4"/>
  <c r="Q161" i="4"/>
  <c r="P161" i="4"/>
  <c r="O161" i="4"/>
  <c r="N161" i="4"/>
  <c r="M161" i="4"/>
  <c r="L161" i="4"/>
  <c r="K161" i="4"/>
  <c r="J161" i="4"/>
  <c r="I161" i="4"/>
  <c r="H161" i="4"/>
  <c r="G161" i="4"/>
  <c r="R160" i="4"/>
  <c r="Q160" i="4"/>
  <c r="P160" i="4"/>
  <c r="O160" i="4"/>
  <c r="N160" i="4"/>
  <c r="M160" i="4"/>
  <c r="L160" i="4"/>
  <c r="K160" i="4"/>
  <c r="J160" i="4"/>
  <c r="I160" i="4"/>
  <c r="H160" i="4"/>
  <c r="G160" i="4"/>
  <c r="R159" i="4"/>
  <c r="Q159" i="4"/>
  <c r="P159" i="4"/>
  <c r="O159" i="4"/>
  <c r="N159" i="4"/>
  <c r="M159" i="4"/>
  <c r="L159" i="4"/>
  <c r="K159" i="4"/>
  <c r="J159" i="4"/>
  <c r="I159" i="4"/>
  <c r="H159" i="4"/>
  <c r="G159" i="4"/>
  <c r="R158" i="4"/>
  <c r="Q158" i="4"/>
  <c r="P158" i="4"/>
  <c r="O158" i="4"/>
  <c r="N158" i="4"/>
  <c r="M158" i="4"/>
  <c r="L158" i="4"/>
  <c r="K158" i="4"/>
  <c r="J158" i="4"/>
  <c r="I158" i="4"/>
  <c r="H158" i="4"/>
  <c r="G158" i="4"/>
  <c r="R157" i="4"/>
  <c r="Q157" i="4"/>
  <c r="P157" i="4"/>
  <c r="O157" i="4"/>
  <c r="N157" i="4"/>
  <c r="M157" i="4"/>
  <c r="L157" i="4"/>
  <c r="K157" i="4"/>
  <c r="J157" i="4"/>
  <c r="I157" i="4"/>
  <c r="H157" i="4"/>
  <c r="G157" i="4"/>
  <c r="R156" i="4"/>
  <c r="Q156" i="4"/>
  <c r="P156" i="4"/>
  <c r="O156" i="4"/>
  <c r="N156" i="4"/>
  <c r="M156" i="4"/>
  <c r="L156" i="4"/>
  <c r="K156" i="4"/>
  <c r="J156" i="4"/>
  <c r="I156" i="4"/>
  <c r="H156" i="4"/>
  <c r="G156" i="4"/>
  <c r="R155" i="4"/>
  <c r="Q155" i="4"/>
  <c r="P155" i="4"/>
  <c r="O155" i="4"/>
  <c r="N155" i="4"/>
  <c r="M155" i="4"/>
  <c r="L155" i="4"/>
  <c r="K155" i="4"/>
  <c r="J155" i="4"/>
  <c r="I155" i="4"/>
  <c r="H155" i="4"/>
  <c r="G155" i="4"/>
  <c r="R154" i="4"/>
  <c r="Q154" i="4"/>
  <c r="P154" i="4"/>
  <c r="O154" i="4"/>
  <c r="N154" i="4"/>
  <c r="M154" i="4"/>
  <c r="L154" i="4"/>
  <c r="K154" i="4"/>
  <c r="J154" i="4"/>
  <c r="I154" i="4"/>
  <c r="H154" i="4"/>
  <c r="G154" i="4"/>
  <c r="R153" i="4"/>
  <c r="Q153" i="4"/>
  <c r="P153" i="4"/>
  <c r="O153" i="4"/>
  <c r="N153" i="4"/>
  <c r="M153" i="4"/>
  <c r="L153" i="4"/>
  <c r="K153" i="4"/>
  <c r="J153" i="4"/>
  <c r="I153" i="4"/>
  <c r="H153" i="4"/>
  <c r="G153" i="4"/>
  <c r="R152" i="4"/>
  <c r="Q152" i="4"/>
  <c r="P152" i="4"/>
  <c r="O152" i="4"/>
  <c r="N152" i="4"/>
  <c r="M152" i="4"/>
  <c r="L152" i="4"/>
  <c r="K152" i="4"/>
  <c r="J152" i="4"/>
  <c r="I152" i="4"/>
  <c r="H152" i="4"/>
  <c r="G152" i="4"/>
  <c r="R151" i="4"/>
  <c r="Q151" i="4"/>
  <c r="P151" i="4"/>
  <c r="O151" i="4"/>
  <c r="N151" i="4"/>
  <c r="M151" i="4"/>
  <c r="L151" i="4"/>
  <c r="K151" i="4"/>
  <c r="J151" i="4"/>
  <c r="I151" i="4"/>
  <c r="H151" i="4"/>
  <c r="G151" i="4"/>
  <c r="R150" i="4"/>
  <c r="Q150" i="4"/>
  <c r="P150" i="4"/>
  <c r="O150" i="4"/>
  <c r="N150" i="4"/>
  <c r="M150" i="4"/>
  <c r="L150" i="4"/>
  <c r="K150" i="4"/>
  <c r="J150" i="4"/>
  <c r="I150" i="4"/>
  <c r="H150" i="4"/>
  <c r="G150" i="4"/>
  <c r="R149" i="4"/>
  <c r="Q149" i="4"/>
  <c r="P149" i="4"/>
  <c r="O149" i="4"/>
  <c r="N149" i="4"/>
  <c r="M149" i="4"/>
  <c r="L149" i="4"/>
  <c r="K149" i="4"/>
  <c r="J149" i="4"/>
  <c r="I149" i="4"/>
  <c r="H149" i="4"/>
  <c r="G149" i="4"/>
  <c r="R148" i="4"/>
  <c r="Q148" i="4"/>
  <c r="P148" i="4"/>
  <c r="O148" i="4"/>
  <c r="N148" i="4"/>
  <c r="M148" i="4"/>
  <c r="L148" i="4"/>
  <c r="K148" i="4"/>
  <c r="J148" i="4"/>
  <c r="I148" i="4"/>
  <c r="H148" i="4"/>
  <c r="G148" i="4"/>
  <c r="R147" i="4"/>
  <c r="Q147" i="4"/>
  <c r="P147" i="4"/>
  <c r="O147" i="4"/>
  <c r="N147" i="4"/>
  <c r="M147" i="4"/>
  <c r="L147" i="4"/>
  <c r="K147" i="4"/>
  <c r="J147" i="4"/>
  <c r="I147" i="4"/>
  <c r="H147" i="4"/>
  <c r="G147" i="4"/>
  <c r="R146" i="4"/>
  <c r="Q146" i="4"/>
  <c r="P146" i="4"/>
  <c r="O146" i="4"/>
  <c r="N146" i="4"/>
  <c r="M146" i="4"/>
  <c r="L146" i="4"/>
  <c r="K146" i="4"/>
  <c r="J146" i="4"/>
  <c r="I146" i="4"/>
  <c r="H146" i="4"/>
  <c r="G146" i="4"/>
  <c r="R145" i="4"/>
  <c r="Q145" i="4"/>
  <c r="P145" i="4"/>
  <c r="O145" i="4"/>
  <c r="N145" i="4"/>
  <c r="M145" i="4"/>
  <c r="L145" i="4"/>
  <c r="K145" i="4"/>
  <c r="J145" i="4"/>
  <c r="I145" i="4"/>
  <c r="H145" i="4"/>
  <c r="G145" i="4"/>
  <c r="R144" i="4"/>
  <c r="Q144" i="4"/>
  <c r="P144" i="4"/>
  <c r="O144" i="4"/>
  <c r="N144" i="4"/>
  <c r="M144" i="4"/>
  <c r="L144" i="4"/>
  <c r="K144" i="4"/>
  <c r="J144" i="4"/>
  <c r="I144" i="4"/>
  <c r="H144" i="4"/>
  <c r="G144" i="4"/>
  <c r="R143" i="4"/>
  <c r="Q143" i="4"/>
  <c r="P143" i="4"/>
  <c r="O143" i="4"/>
  <c r="N143" i="4"/>
  <c r="M143" i="4"/>
  <c r="L143" i="4"/>
  <c r="K143" i="4"/>
  <c r="J143" i="4"/>
  <c r="I143" i="4"/>
  <c r="H143" i="4"/>
  <c r="G143" i="4"/>
  <c r="R142" i="4"/>
  <c r="Q142" i="4"/>
  <c r="P142" i="4"/>
  <c r="O142" i="4"/>
  <c r="N142" i="4"/>
  <c r="M142" i="4"/>
  <c r="L142" i="4"/>
  <c r="K142" i="4"/>
  <c r="J142" i="4"/>
  <c r="I142" i="4"/>
  <c r="H142" i="4"/>
  <c r="G142" i="4"/>
  <c r="R141" i="4"/>
  <c r="Q141" i="4"/>
  <c r="P141" i="4"/>
  <c r="O141" i="4"/>
  <c r="N141" i="4"/>
  <c r="M141" i="4"/>
  <c r="L141" i="4"/>
  <c r="K141" i="4"/>
  <c r="J141" i="4"/>
  <c r="I141" i="4"/>
  <c r="H141" i="4"/>
  <c r="G141" i="4"/>
  <c r="R140" i="4"/>
  <c r="Q140" i="4"/>
  <c r="P140" i="4"/>
  <c r="O140" i="4"/>
  <c r="N140" i="4"/>
  <c r="M140" i="4"/>
  <c r="L140" i="4"/>
  <c r="K140" i="4"/>
  <c r="J140" i="4"/>
  <c r="I140" i="4"/>
  <c r="H140" i="4"/>
  <c r="G140" i="4"/>
  <c r="R139" i="4"/>
  <c r="Q139" i="4"/>
  <c r="P139" i="4"/>
  <c r="O139" i="4"/>
  <c r="N139" i="4"/>
  <c r="M139" i="4"/>
  <c r="L139" i="4"/>
  <c r="K139" i="4"/>
  <c r="J139" i="4"/>
  <c r="I139" i="4"/>
  <c r="H139" i="4"/>
  <c r="G139" i="4"/>
  <c r="R138" i="4"/>
  <c r="Q138" i="4"/>
  <c r="P138" i="4"/>
  <c r="O138" i="4"/>
  <c r="N138" i="4"/>
  <c r="M138" i="4"/>
  <c r="L138" i="4"/>
  <c r="K138" i="4"/>
  <c r="J138" i="4"/>
  <c r="I138" i="4"/>
  <c r="H138" i="4"/>
  <c r="G138" i="4"/>
  <c r="R137" i="4"/>
  <c r="Q137" i="4"/>
  <c r="P137" i="4"/>
  <c r="O137" i="4"/>
  <c r="N137" i="4"/>
  <c r="M137" i="4"/>
  <c r="L137" i="4"/>
  <c r="K137" i="4"/>
  <c r="J137" i="4"/>
  <c r="I137" i="4"/>
  <c r="H137" i="4"/>
  <c r="G137" i="4"/>
  <c r="R136" i="4"/>
  <c r="Q136" i="4"/>
  <c r="P136" i="4"/>
  <c r="O136" i="4"/>
  <c r="N136" i="4"/>
  <c r="M136" i="4"/>
  <c r="L136" i="4"/>
  <c r="K136" i="4"/>
  <c r="J136" i="4"/>
  <c r="I136" i="4"/>
  <c r="H136" i="4"/>
  <c r="G136" i="4"/>
  <c r="R135" i="4"/>
  <c r="Q135" i="4"/>
  <c r="P135" i="4"/>
  <c r="O135" i="4"/>
  <c r="N135" i="4"/>
  <c r="M135" i="4"/>
  <c r="L135" i="4"/>
  <c r="K135" i="4"/>
  <c r="J135" i="4"/>
  <c r="I135" i="4"/>
  <c r="H135" i="4"/>
  <c r="G135" i="4"/>
  <c r="R134" i="4"/>
  <c r="Q134" i="4"/>
  <c r="P134" i="4"/>
  <c r="O134" i="4"/>
  <c r="N134" i="4"/>
  <c r="M134" i="4"/>
  <c r="L134" i="4"/>
  <c r="K134" i="4"/>
  <c r="J134" i="4"/>
  <c r="I134" i="4"/>
  <c r="H134" i="4"/>
  <c r="G134" i="4"/>
  <c r="R133" i="4"/>
  <c r="Q133" i="4"/>
  <c r="P133" i="4"/>
  <c r="O133" i="4"/>
  <c r="N133" i="4"/>
  <c r="M133" i="4"/>
  <c r="L133" i="4"/>
  <c r="K133" i="4"/>
  <c r="J133" i="4"/>
  <c r="I133" i="4"/>
  <c r="H133" i="4"/>
  <c r="G133" i="4"/>
  <c r="R132" i="4"/>
  <c r="Q132" i="4"/>
  <c r="P132" i="4"/>
  <c r="O132" i="4"/>
  <c r="N132" i="4"/>
  <c r="M132" i="4"/>
  <c r="L132" i="4"/>
  <c r="K132" i="4"/>
  <c r="J132" i="4"/>
  <c r="I132" i="4"/>
  <c r="H132" i="4"/>
  <c r="G132" i="4"/>
  <c r="R131" i="4"/>
  <c r="Q131" i="4"/>
  <c r="P131" i="4"/>
  <c r="O131" i="4"/>
  <c r="N131" i="4"/>
  <c r="M131" i="4"/>
  <c r="L131" i="4"/>
  <c r="K131" i="4"/>
  <c r="J131" i="4"/>
  <c r="I131" i="4"/>
  <c r="H131" i="4"/>
  <c r="G131" i="4"/>
  <c r="R130" i="4"/>
  <c r="Q130" i="4"/>
  <c r="P130" i="4"/>
  <c r="O130" i="4"/>
  <c r="N130" i="4"/>
  <c r="M130" i="4"/>
  <c r="L130" i="4"/>
  <c r="K130" i="4"/>
  <c r="J130" i="4"/>
  <c r="I130" i="4"/>
  <c r="H130" i="4"/>
  <c r="G130" i="4"/>
  <c r="R129" i="4"/>
  <c r="Q129" i="4"/>
  <c r="P129" i="4"/>
  <c r="O129" i="4"/>
  <c r="N129" i="4"/>
  <c r="M129" i="4"/>
  <c r="L129" i="4"/>
  <c r="K129" i="4"/>
  <c r="J129" i="4"/>
  <c r="I129" i="4"/>
  <c r="H129" i="4"/>
  <c r="G129" i="4"/>
  <c r="R128" i="4"/>
  <c r="Q128" i="4"/>
  <c r="P128" i="4"/>
  <c r="O128" i="4"/>
  <c r="N128" i="4"/>
  <c r="M128" i="4"/>
  <c r="L128" i="4"/>
  <c r="K128" i="4"/>
  <c r="J128" i="4"/>
  <c r="I128" i="4"/>
  <c r="H128" i="4"/>
  <c r="G128" i="4"/>
  <c r="R127" i="4"/>
  <c r="Q127" i="4"/>
  <c r="P127" i="4"/>
  <c r="O127" i="4"/>
  <c r="N127" i="4"/>
  <c r="M127" i="4"/>
  <c r="L127" i="4"/>
  <c r="K127" i="4"/>
  <c r="J127" i="4"/>
  <c r="I127" i="4"/>
  <c r="H127" i="4"/>
  <c r="G127" i="4"/>
  <c r="R126" i="4"/>
  <c r="Q126" i="4"/>
  <c r="P126" i="4"/>
  <c r="O126" i="4"/>
  <c r="N126" i="4"/>
  <c r="M126" i="4"/>
  <c r="L126" i="4"/>
  <c r="K126" i="4"/>
  <c r="J126" i="4"/>
  <c r="I126" i="4"/>
  <c r="H126" i="4"/>
  <c r="G126" i="4"/>
  <c r="R125" i="4"/>
  <c r="Q125" i="4"/>
  <c r="P125" i="4"/>
  <c r="O125" i="4"/>
  <c r="N125" i="4"/>
  <c r="M125" i="4"/>
  <c r="L125" i="4"/>
  <c r="K125" i="4"/>
  <c r="J125" i="4"/>
  <c r="I125" i="4"/>
  <c r="H125" i="4"/>
  <c r="G125" i="4"/>
  <c r="R124" i="4"/>
  <c r="Q124" i="4"/>
  <c r="P124" i="4"/>
  <c r="O124" i="4"/>
  <c r="N124" i="4"/>
  <c r="M124" i="4"/>
  <c r="L124" i="4"/>
  <c r="K124" i="4"/>
  <c r="J124" i="4"/>
  <c r="I124" i="4"/>
  <c r="H124" i="4"/>
  <c r="G124" i="4"/>
  <c r="R123" i="4"/>
  <c r="Q123" i="4"/>
  <c r="P123" i="4"/>
  <c r="O123" i="4"/>
  <c r="N123" i="4"/>
  <c r="M123" i="4"/>
  <c r="L123" i="4"/>
  <c r="K123" i="4"/>
  <c r="J123" i="4"/>
  <c r="I123" i="4"/>
  <c r="H123" i="4"/>
  <c r="G123" i="4"/>
  <c r="R122" i="4"/>
  <c r="Q122" i="4"/>
  <c r="P122" i="4"/>
  <c r="O122" i="4"/>
  <c r="N122" i="4"/>
  <c r="M122" i="4"/>
  <c r="L122" i="4"/>
  <c r="K122" i="4"/>
  <c r="J122" i="4"/>
  <c r="I122" i="4"/>
  <c r="H122" i="4"/>
  <c r="G122" i="4"/>
  <c r="R121" i="4"/>
  <c r="Q121" i="4"/>
  <c r="P121" i="4"/>
  <c r="O121" i="4"/>
  <c r="N121" i="4"/>
  <c r="M121" i="4"/>
  <c r="L121" i="4"/>
  <c r="K121" i="4"/>
  <c r="J121" i="4"/>
  <c r="I121" i="4"/>
  <c r="H121" i="4"/>
  <c r="G121" i="4"/>
  <c r="R120" i="4"/>
  <c r="Q120" i="4"/>
  <c r="P120" i="4"/>
  <c r="O120" i="4"/>
  <c r="N120" i="4"/>
  <c r="M120" i="4"/>
  <c r="L120" i="4"/>
  <c r="K120" i="4"/>
  <c r="J120" i="4"/>
  <c r="I120" i="4"/>
  <c r="H120" i="4"/>
  <c r="G120" i="4"/>
  <c r="R119" i="4"/>
  <c r="Q119" i="4"/>
  <c r="P119" i="4"/>
  <c r="O119" i="4"/>
  <c r="N119" i="4"/>
  <c r="M119" i="4"/>
  <c r="L119" i="4"/>
  <c r="K119" i="4"/>
  <c r="J119" i="4"/>
  <c r="I119" i="4"/>
  <c r="H119" i="4"/>
  <c r="G119" i="4"/>
  <c r="R118" i="4"/>
  <c r="Q118" i="4"/>
  <c r="P118" i="4"/>
  <c r="O118" i="4"/>
  <c r="N118" i="4"/>
  <c r="M118" i="4"/>
  <c r="L118" i="4"/>
  <c r="K118" i="4"/>
  <c r="J118" i="4"/>
  <c r="I118" i="4"/>
  <c r="H118" i="4"/>
  <c r="G118" i="4"/>
  <c r="R117" i="4"/>
  <c r="Q117" i="4"/>
  <c r="P117" i="4"/>
  <c r="O117" i="4"/>
  <c r="N117" i="4"/>
  <c r="M117" i="4"/>
  <c r="L117" i="4"/>
  <c r="K117" i="4"/>
  <c r="J117" i="4"/>
  <c r="I117" i="4"/>
  <c r="H117" i="4"/>
  <c r="G117" i="4"/>
  <c r="R116" i="4"/>
  <c r="Q116" i="4"/>
  <c r="P116" i="4"/>
  <c r="O116" i="4"/>
  <c r="N116" i="4"/>
  <c r="M116" i="4"/>
  <c r="L116" i="4"/>
  <c r="K116" i="4"/>
  <c r="J116" i="4"/>
  <c r="I116" i="4"/>
  <c r="H116" i="4"/>
  <c r="G116" i="4"/>
  <c r="R115" i="4"/>
  <c r="Q115" i="4"/>
  <c r="P115" i="4"/>
  <c r="O115" i="4"/>
  <c r="N115" i="4"/>
  <c r="M115" i="4"/>
  <c r="L115" i="4"/>
  <c r="K115" i="4"/>
  <c r="J115" i="4"/>
  <c r="I115" i="4"/>
  <c r="H115" i="4"/>
  <c r="G115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R113" i="4"/>
  <c r="Q113" i="4"/>
  <c r="P113" i="4"/>
  <c r="O113" i="4"/>
  <c r="N113" i="4"/>
  <c r="M113" i="4"/>
  <c r="L113" i="4"/>
  <c r="K113" i="4"/>
  <c r="J113" i="4"/>
  <c r="I113" i="4"/>
  <c r="H113" i="4"/>
  <c r="G113" i="4"/>
  <c r="R112" i="4"/>
  <c r="Q112" i="4"/>
  <c r="P112" i="4"/>
  <c r="O112" i="4"/>
  <c r="N112" i="4"/>
  <c r="M112" i="4"/>
  <c r="L112" i="4"/>
  <c r="K112" i="4"/>
  <c r="J112" i="4"/>
  <c r="I112" i="4"/>
  <c r="H112" i="4"/>
  <c r="G112" i="4"/>
  <c r="R111" i="4"/>
  <c r="Q111" i="4"/>
  <c r="P111" i="4"/>
  <c r="O111" i="4"/>
  <c r="N111" i="4"/>
  <c r="M111" i="4"/>
  <c r="L111" i="4"/>
  <c r="K111" i="4"/>
  <c r="J111" i="4"/>
  <c r="I111" i="4"/>
  <c r="H111" i="4"/>
  <c r="G111" i="4"/>
  <c r="R110" i="4"/>
  <c r="Q110" i="4"/>
  <c r="P110" i="4"/>
  <c r="O110" i="4"/>
  <c r="N110" i="4"/>
  <c r="M110" i="4"/>
  <c r="L110" i="4"/>
  <c r="K110" i="4"/>
  <c r="J110" i="4"/>
  <c r="I110" i="4"/>
  <c r="H110" i="4"/>
  <c r="G110" i="4"/>
  <c r="R109" i="4"/>
  <c r="Q109" i="4"/>
  <c r="P109" i="4"/>
  <c r="O109" i="4"/>
  <c r="N109" i="4"/>
  <c r="M109" i="4"/>
  <c r="L109" i="4"/>
  <c r="K109" i="4"/>
  <c r="J109" i="4"/>
  <c r="I109" i="4"/>
  <c r="H109" i="4"/>
  <c r="G109" i="4"/>
  <c r="R108" i="4"/>
  <c r="Q108" i="4"/>
  <c r="P108" i="4"/>
  <c r="O108" i="4"/>
  <c r="N108" i="4"/>
  <c r="M108" i="4"/>
  <c r="L108" i="4"/>
  <c r="K108" i="4"/>
  <c r="J108" i="4"/>
  <c r="I108" i="4"/>
  <c r="H108" i="4"/>
  <c r="G108" i="4"/>
  <c r="R107" i="4"/>
  <c r="Q107" i="4"/>
  <c r="P107" i="4"/>
  <c r="O107" i="4"/>
  <c r="N107" i="4"/>
  <c r="M107" i="4"/>
  <c r="L107" i="4"/>
  <c r="K107" i="4"/>
  <c r="J107" i="4"/>
  <c r="I107" i="4"/>
  <c r="H107" i="4"/>
  <c r="G107" i="4"/>
  <c r="R106" i="4"/>
  <c r="Q106" i="4"/>
  <c r="P106" i="4"/>
  <c r="O106" i="4"/>
  <c r="N106" i="4"/>
  <c r="M106" i="4"/>
  <c r="L106" i="4"/>
  <c r="K106" i="4"/>
  <c r="J106" i="4"/>
  <c r="I106" i="4"/>
  <c r="H106" i="4"/>
  <c r="G106" i="4"/>
  <c r="R105" i="4"/>
  <c r="Q105" i="4"/>
  <c r="P105" i="4"/>
  <c r="O105" i="4"/>
  <c r="N105" i="4"/>
  <c r="M105" i="4"/>
  <c r="L105" i="4"/>
  <c r="K105" i="4"/>
  <c r="J105" i="4"/>
  <c r="I105" i="4"/>
  <c r="H105" i="4"/>
  <c r="G105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R103" i="4"/>
  <c r="Q103" i="4"/>
  <c r="P103" i="4"/>
  <c r="O103" i="4"/>
  <c r="N103" i="4"/>
  <c r="M103" i="4"/>
  <c r="L103" i="4"/>
  <c r="K103" i="4"/>
  <c r="J103" i="4"/>
  <c r="I103" i="4"/>
  <c r="H103" i="4"/>
  <c r="G103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R101" i="4"/>
  <c r="Q101" i="4"/>
  <c r="P101" i="4"/>
  <c r="O101" i="4"/>
  <c r="N101" i="4"/>
  <c r="M101" i="4"/>
  <c r="L101" i="4"/>
  <c r="K101" i="4"/>
  <c r="J101" i="4"/>
  <c r="I101" i="4"/>
  <c r="H101" i="4"/>
  <c r="G101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R99" i="4"/>
  <c r="Q99" i="4"/>
  <c r="P99" i="4"/>
  <c r="O99" i="4"/>
  <c r="N99" i="4"/>
  <c r="M99" i="4"/>
  <c r="L99" i="4"/>
  <c r="K99" i="4"/>
  <c r="J99" i="4"/>
  <c r="I99" i="4"/>
  <c r="H99" i="4"/>
  <c r="G99" i="4"/>
  <c r="R98" i="4"/>
  <c r="Q98" i="4"/>
  <c r="P98" i="4"/>
  <c r="O98" i="4"/>
  <c r="N98" i="4"/>
  <c r="M98" i="4"/>
  <c r="L98" i="4"/>
  <c r="K98" i="4"/>
  <c r="J98" i="4"/>
  <c r="I98" i="4"/>
  <c r="H98" i="4"/>
  <c r="G98" i="4"/>
  <c r="R97" i="4"/>
  <c r="Q97" i="4"/>
  <c r="P97" i="4"/>
  <c r="O97" i="4"/>
  <c r="N97" i="4"/>
  <c r="M97" i="4"/>
  <c r="L97" i="4"/>
  <c r="K97" i="4"/>
  <c r="J97" i="4"/>
  <c r="I97" i="4"/>
  <c r="H97" i="4"/>
  <c r="G97" i="4"/>
  <c r="R96" i="4"/>
  <c r="Q96" i="4"/>
  <c r="P96" i="4"/>
  <c r="O96" i="4"/>
  <c r="N96" i="4"/>
  <c r="M96" i="4"/>
  <c r="L96" i="4"/>
  <c r="K96" i="4"/>
  <c r="J96" i="4"/>
  <c r="I96" i="4"/>
  <c r="H96" i="4"/>
  <c r="G96" i="4"/>
  <c r="R95" i="4"/>
  <c r="Q95" i="4"/>
  <c r="P95" i="4"/>
  <c r="O95" i="4"/>
  <c r="N95" i="4"/>
  <c r="M95" i="4"/>
  <c r="L95" i="4"/>
  <c r="K95" i="4"/>
  <c r="J95" i="4"/>
  <c r="I95" i="4"/>
  <c r="H95" i="4"/>
  <c r="G95" i="4"/>
  <c r="R94" i="4"/>
  <c r="Q94" i="4"/>
  <c r="P94" i="4"/>
  <c r="O94" i="4"/>
  <c r="N94" i="4"/>
  <c r="M94" i="4"/>
  <c r="L94" i="4"/>
  <c r="K94" i="4"/>
  <c r="J94" i="4"/>
  <c r="I94" i="4"/>
  <c r="H94" i="4"/>
  <c r="G94" i="4"/>
  <c r="R93" i="4"/>
  <c r="Q93" i="4"/>
  <c r="P93" i="4"/>
  <c r="O93" i="4"/>
  <c r="N93" i="4"/>
  <c r="M93" i="4"/>
  <c r="L93" i="4"/>
  <c r="K93" i="4"/>
  <c r="J93" i="4"/>
  <c r="I93" i="4"/>
  <c r="H93" i="4"/>
  <c r="G93" i="4"/>
  <c r="R92" i="4"/>
  <c r="Q92" i="4"/>
  <c r="P92" i="4"/>
  <c r="O92" i="4"/>
  <c r="N92" i="4"/>
  <c r="M92" i="4"/>
  <c r="L92" i="4"/>
  <c r="K92" i="4"/>
  <c r="J92" i="4"/>
  <c r="I92" i="4"/>
  <c r="H92" i="4"/>
  <c r="G92" i="4"/>
  <c r="R91" i="4"/>
  <c r="Q91" i="4"/>
  <c r="P91" i="4"/>
  <c r="O91" i="4"/>
  <c r="N91" i="4"/>
  <c r="M91" i="4"/>
  <c r="L91" i="4"/>
  <c r="K91" i="4"/>
  <c r="J91" i="4"/>
  <c r="I91" i="4"/>
  <c r="H91" i="4"/>
  <c r="G91" i="4"/>
  <c r="R90" i="4"/>
  <c r="Q90" i="4"/>
  <c r="P90" i="4"/>
  <c r="O90" i="4"/>
  <c r="N90" i="4"/>
  <c r="M90" i="4"/>
  <c r="L90" i="4"/>
  <c r="K90" i="4"/>
  <c r="J90" i="4"/>
  <c r="I90" i="4"/>
  <c r="H90" i="4"/>
  <c r="G90" i="4"/>
  <c r="R89" i="4"/>
  <c r="Q89" i="4"/>
  <c r="P89" i="4"/>
  <c r="O89" i="4"/>
  <c r="N89" i="4"/>
  <c r="M89" i="4"/>
  <c r="L89" i="4"/>
  <c r="K89" i="4"/>
  <c r="J89" i="4"/>
  <c r="I89" i="4"/>
  <c r="H89" i="4"/>
  <c r="G89" i="4"/>
  <c r="R88" i="4"/>
  <c r="Q88" i="4"/>
  <c r="P88" i="4"/>
  <c r="O88" i="4"/>
  <c r="N88" i="4"/>
  <c r="M88" i="4"/>
  <c r="L88" i="4"/>
  <c r="K88" i="4"/>
  <c r="J88" i="4"/>
  <c r="I88" i="4"/>
  <c r="H88" i="4"/>
  <c r="G88" i="4"/>
  <c r="R87" i="4"/>
  <c r="Q87" i="4"/>
  <c r="P87" i="4"/>
  <c r="O87" i="4"/>
  <c r="N87" i="4"/>
  <c r="M87" i="4"/>
  <c r="L87" i="4"/>
  <c r="K87" i="4"/>
  <c r="J87" i="4"/>
  <c r="I87" i="4"/>
  <c r="H87" i="4"/>
  <c r="G87" i="4"/>
  <c r="R86" i="4"/>
  <c r="Q86" i="4"/>
  <c r="P86" i="4"/>
  <c r="O86" i="4"/>
  <c r="N86" i="4"/>
  <c r="M86" i="4"/>
  <c r="L86" i="4"/>
  <c r="K86" i="4"/>
  <c r="J86" i="4"/>
  <c r="I86" i="4"/>
  <c r="H86" i="4"/>
  <c r="G86" i="4"/>
  <c r="R85" i="4"/>
  <c r="Q85" i="4"/>
  <c r="P85" i="4"/>
  <c r="O85" i="4"/>
  <c r="N85" i="4"/>
  <c r="M85" i="4"/>
  <c r="L85" i="4"/>
  <c r="K85" i="4"/>
  <c r="J85" i="4"/>
  <c r="I85" i="4"/>
  <c r="H85" i="4"/>
  <c r="G85" i="4"/>
  <c r="R84" i="4"/>
  <c r="Q84" i="4"/>
  <c r="P84" i="4"/>
  <c r="O84" i="4"/>
  <c r="N84" i="4"/>
  <c r="M84" i="4"/>
  <c r="L84" i="4"/>
  <c r="K84" i="4"/>
  <c r="J84" i="4"/>
  <c r="I84" i="4"/>
  <c r="H84" i="4"/>
  <c r="G84" i="4"/>
  <c r="R83" i="4"/>
  <c r="Q83" i="4"/>
  <c r="P83" i="4"/>
  <c r="O83" i="4"/>
  <c r="N83" i="4"/>
  <c r="M83" i="4"/>
  <c r="L83" i="4"/>
  <c r="K83" i="4"/>
  <c r="J83" i="4"/>
  <c r="I83" i="4"/>
  <c r="H83" i="4"/>
  <c r="G83" i="4"/>
  <c r="R82" i="4"/>
  <c r="Q82" i="4"/>
  <c r="P82" i="4"/>
  <c r="O82" i="4"/>
  <c r="N82" i="4"/>
  <c r="M82" i="4"/>
  <c r="L82" i="4"/>
  <c r="K82" i="4"/>
  <c r="J82" i="4"/>
  <c r="I82" i="4"/>
  <c r="H82" i="4"/>
  <c r="G82" i="4"/>
  <c r="R81" i="4"/>
  <c r="Q81" i="4"/>
  <c r="P81" i="4"/>
  <c r="O81" i="4"/>
  <c r="N81" i="4"/>
  <c r="M81" i="4"/>
  <c r="L81" i="4"/>
  <c r="K81" i="4"/>
  <c r="J81" i="4"/>
  <c r="I81" i="4"/>
  <c r="H81" i="4"/>
  <c r="G81" i="4"/>
  <c r="R80" i="4"/>
  <c r="Q80" i="4"/>
  <c r="P80" i="4"/>
  <c r="O80" i="4"/>
  <c r="N80" i="4"/>
  <c r="M80" i="4"/>
  <c r="L80" i="4"/>
  <c r="K80" i="4"/>
  <c r="J80" i="4"/>
  <c r="I80" i="4"/>
  <c r="H80" i="4"/>
  <c r="G80" i="4"/>
  <c r="R79" i="4"/>
  <c r="Q79" i="4"/>
  <c r="P79" i="4"/>
  <c r="O79" i="4"/>
  <c r="N79" i="4"/>
  <c r="M79" i="4"/>
  <c r="L79" i="4"/>
  <c r="K79" i="4"/>
  <c r="J79" i="4"/>
  <c r="I79" i="4"/>
  <c r="H79" i="4"/>
  <c r="G79" i="4"/>
  <c r="R78" i="4"/>
  <c r="Q78" i="4"/>
  <c r="P78" i="4"/>
  <c r="O78" i="4"/>
  <c r="N78" i="4"/>
  <c r="M78" i="4"/>
  <c r="L78" i="4"/>
  <c r="K78" i="4"/>
  <c r="J78" i="4"/>
  <c r="I78" i="4"/>
  <c r="H78" i="4"/>
  <c r="G78" i="4"/>
  <c r="R77" i="4"/>
  <c r="Q77" i="4"/>
  <c r="P77" i="4"/>
  <c r="O77" i="4"/>
  <c r="N77" i="4"/>
  <c r="M77" i="4"/>
  <c r="L77" i="4"/>
  <c r="K77" i="4"/>
  <c r="J77" i="4"/>
  <c r="I77" i="4"/>
  <c r="H77" i="4"/>
  <c r="G77" i="4"/>
  <c r="R76" i="4"/>
  <c r="Q76" i="4"/>
  <c r="P76" i="4"/>
  <c r="O76" i="4"/>
  <c r="N76" i="4"/>
  <c r="M76" i="4"/>
  <c r="L76" i="4"/>
  <c r="K76" i="4"/>
  <c r="J76" i="4"/>
  <c r="I76" i="4"/>
  <c r="H76" i="4"/>
  <c r="G76" i="4"/>
  <c r="R75" i="4"/>
  <c r="Q75" i="4"/>
  <c r="P75" i="4"/>
  <c r="O75" i="4"/>
  <c r="N75" i="4"/>
  <c r="M75" i="4"/>
  <c r="L75" i="4"/>
  <c r="K75" i="4"/>
  <c r="J75" i="4"/>
  <c r="I75" i="4"/>
  <c r="H75" i="4"/>
  <c r="G75" i="4"/>
  <c r="R74" i="4"/>
  <c r="Q74" i="4"/>
  <c r="P74" i="4"/>
  <c r="O74" i="4"/>
  <c r="N74" i="4"/>
  <c r="M74" i="4"/>
  <c r="L74" i="4"/>
  <c r="K74" i="4"/>
  <c r="J74" i="4"/>
  <c r="I74" i="4"/>
  <c r="H74" i="4"/>
  <c r="G74" i="4"/>
  <c r="R73" i="4"/>
  <c r="Q73" i="4"/>
  <c r="P73" i="4"/>
  <c r="O73" i="4"/>
  <c r="N73" i="4"/>
  <c r="M73" i="4"/>
  <c r="L73" i="4"/>
  <c r="K73" i="4"/>
  <c r="J73" i="4"/>
  <c r="I73" i="4"/>
  <c r="H73" i="4"/>
  <c r="G73" i="4"/>
  <c r="R72" i="4"/>
  <c r="Q72" i="4"/>
  <c r="P72" i="4"/>
  <c r="O72" i="4"/>
  <c r="N72" i="4"/>
  <c r="M72" i="4"/>
  <c r="L72" i="4"/>
  <c r="K72" i="4"/>
  <c r="J72" i="4"/>
  <c r="I72" i="4"/>
  <c r="H72" i="4"/>
  <c r="G72" i="4"/>
  <c r="R71" i="4"/>
  <c r="Q71" i="4"/>
  <c r="P71" i="4"/>
  <c r="O71" i="4"/>
  <c r="N71" i="4"/>
  <c r="M71" i="4"/>
  <c r="L71" i="4"/>
  <c r="K71" i="4"/>
  <c r="J71" i="4"/>
  <c r="I71" i="4"/>
  <c r="H71" i="4"/>
  <c r="G71" i="4"/>
  <c r="R70" i="4"/>
  <c r="Q70" i="4"/>
  <c r="P70" i="4"/>
  <c r="O70" i="4"/>
  <c r="N70" i="4"/>
  <c r="M70" i="4"/>
  <c r="L70" i="4"/>
  <c r="K70" i="4"/>
  <c r="J70" i="4"/>
  <c r="I70" i="4"/>
  <c r="H70" i="4"/>
  <c r="G70" i="4"/>
  <c r="R69" i="4"/>
  <c r="Q69" i="4"/>
  <c r="P69" i="4"/>
  <c r="O69" i="4"/>
  <c r="N69" i="4"/>
  <c r="M69" i="4"/>
  <c r="L69" i="4"/>
  <c r="K69" i="4"/>
  <c r="J69" i="4"/>
  <c r="I69" i="4"/>
  <c r="H69" i="4"/>
  <c r="G69" i="4"/>
  <c r="R68" i="4"/>
  <c r="Q68" i="4"/>
  <c r="P68" i="4"/>
  <c r="O68" i="4"/>
  <c r="N68" i="4"/>
  <c r="M68" i="4"/>
  <c r="L68" i="4"/>
  <c r="K68" i="4"/>
  <c r="J68" i="4"/>
  <c r="I68" i="4"/>
  <c r="H68" i="4"/>
  <c r="G68" i="4"/>
  <c r="R67" i="4"/>
  <c r="Q67" i="4"/>
  <c r="P67" i="4"/>
  <c r="O67" i="4"/>
  <c r="N67" i="4"/>
  <c r="M67" i="4"/>
  <c r="L67" i="4"/>
  <c r="K67" i="4"/>
  <c r="J67" i="4"/>
  <c r="I67" i="4"/>
  <c r="H67" i="4"/>
  <c r="G67" i="4"/>
  <c r="R66" i="4"/>
  <c r="Q66" i="4"/>
  <c r="P66" i="4"/>
  <c r="O66" i="4"/>
  <c r="N66" i="4"/>
  <c r="M66" i="4"/>
  <c r="L66" i="4"/>
  <c r="K66" i="4"/>
  <c r="J66" i="4"/>
  <c r="I66" i="4"/>
  <c r="H66" i="4"/>
  <c r="G66" i="4"/>
  <c r="R65" i="4"/>
  <c r="Q65" i="4"/>
  <c r="P65" i="4"/>
  <c r="O65" i="4"/>
  <c r="N65" i="4"/>
  <c r="M65" i="4"/>
  <c r="L65" i="4"/>
  <c r="K65" i="4"/>
  <c r="J65" i="4"/>
  <c r="I65" i="4"/>
  <c r="H65" i="4"/>
  <c r="G65" i="4"/>
  <c r="R64" i="4"/>
  <c r="Q64" i="4"/>
  <c r="P64" i="4"/>
  <c r="O64" i="4"/>
  <c r="N64" i="4"/>
  <c r="M64" i="4"/>
  <c r="L64" i="4"/>
  <c r="K64" i="4"/>
  <c r="J64" i="4"/>
  <c r="I64" i="4"/>
  <c r="H64" i="4"/>
  <c r="G64" i="4"/>
  <c r="R63" i="4"/>
  <c r="Q63" i="4"/>
  <c r="P63" i="4"/>
  <c r="O63" i="4"/>
  <c r="N63" i="4"/>
  <c r="M63" i="4"/>
  <c r="L63" i="4"/>
  <c r="K63" i="4"/>
  <c r="J63" i="4"/>
  <c r="I63" i="4"/>
  <c r="H63" i="4"/>
  <c r="G63" i="4"/>
  <c r="R62" i="4"/>
  <c r="Q62" i="4"/>
  <c r="P62" i="4"/>
  <c r="O62" i="4"/>
  <c r="N62" i="4"/>
  <c r="M62" i="4"/>
  <c r="L62" i="4"/>
  <c r="K62" i="4"/>
  <c r="J62" i="4"/>
  <c r="I62" i="4"/>
  <c r="H62" i="4"/>
  <c r="G62" i="4"/>
  <c r="R61" i="4"/>
  <c r="Q61" i="4"/>
  <c r="P61" i="4"/>
  <c r="O61" i="4"/>
  <c r="N61" i="4"/>
  <c r="M61" i="4"/>
  <c r="L61" i="4"/>
  <c r="K61" i="4"/>
  <c r="J61" i="4"/>
  <c r="I61" i="4"/>
  <c r="H61" i="4"/>
  <c r="G61" i="4"/>
  <c r="R60" i="4"/>
  <c r="Q60" i="4"/>
  <c r="P60" i="4"/>
  <c r="O60" i="4"/>
  <c r="N60" i="4"/>
  <c r="M60" i="4"/>
  <c r="L60" i="4"/>
  <c r="K60" i="4"/>
  <c r="J60" i="4"/>
  <c r="I60" i="4"/>
  <c r="H60" i="4"/>
  <c r="G60" i="4"/>
  <c r="R59" i="4"/>
  <c r="Q59" i="4"/>
  <c r="P59" i="4"/>
  <c r="O59" i="4"/>
  <c r="N59" i="4"/>
  <c r="M59" i="4"/>
  <c r="L59" i="4"/>
  <c r="K59" i="4"/>
  <c r="J59" i="4"/>
  <c r="I59" i="4"/>
  <c r="H59" i="4"/>
  <c r="G59" i="4"/>
  <c r="R58" i="4"/>
  <c r="Q58" i="4"/>
  <c r="P58" i="4"/>
  <c r="O58" i="4"/>
  <c r="N58" i="4"/>
  <c r="M58" i="4"/>
  <c r="L58" i="4"/>
  <c r="K58" i="4"/>
  <c r="J58" i="4"/>
  <c r="I58" i="4"/>
  <c r="H58" i="4"/>
  <c r="G58" i="4"/>
  <c r="R57" i="4"/>
  <c r="Q57" i="4"/>
  <c r="P57" i="4"/>
  <c r="O57" i="4"/>
  <c r="N57" i="4"/>
  <c r="M57" i="4"/>
  <c r="L57" i="4"/>
  <c r="K57" i="4"/>
  <c r="J57" i="4"/>
  <c r="I57" i="4"/>
  <c r="H57" i="4"/>
  <c r="G57" i="4"/>
  <c r="R56" i="4"/>
  <c r="Q56" i="4"/>
  <c r="P56" i="4"/>
  <c r="O56" i="4"/>
  <c r="N56" i="4"/>
  <c r="M56" i="4"/>
  <c r="L56" i="4"/>
  <c r="K56" i="4"/>
  <c r="J56" i="4"/>
  <c r="I56" i="4"/>
  <c r="H56" i="4"/>
  <c r="G56" i="4"/>
  <c r="R55" i="4"/>
  <c r="Q55" i="4"/>
  <c r="P55" i="4"/>
  <c r="O55" i="4"/>
  <c r="N55" i="4"/>
  <c r="M55" i="4"/>
  <c r="L55" i="4"/>
  <c r="K55" i="4"/>
  <c r="J55" i="4"/>
  <c r="I55" i="4"/>
  <c r="H55" i="4"/>
  <c r="G55" i="4"/>
  <c r="R54" i="4"/>
  <c r="Q54" i="4"/>
  <c r="P54" i="4"/>
  <c r="O54" i="4"/>
  <c r="N54" i="4"/>
  <c r="M54" i="4"/>
  <c r="L54" i="4"/>
  <c r="K54" i="4"/>
  <c r="J54" i="4"/>
  <c r="I54" i="4"/>
  <c r="H54" i="4"/>
  <c r="G54" i="4"/>
  <c r="R53" i="4"/>
  <c r="Q53" i="4"/>
  <c r="P53" i="4"/>
  <c r="O53" i="4"/>
  <c r="N53" i="4"/>
  <c r="M53" i="4"/>
  <c r="L53" i="4"/>
  <c r="K53" i="4"/>
  <c r="J53" i="4"/>
  <c r="I53" i="4"/>
  <c r="H53" i="4"/>
  <c r="G53" i="4"/>
  <c r="R52" i="4"/>
  <c r="Q52" i="4"/>
  <c r="P52" i="4"/>
  <c r="O52" i="4"/>
  <c r="N52" i="4"/>
  <c r="M52" i="4"/>
  <c r="L52" i="4"/>
  <c r="K52" i="4"/>
  <c r="J52" i="4"/>
  <c r="I52" i="4"/>
  <c r="H52" i="4"/>
  <c r="G52" i="4"/>
  <c r="R51" i="4"/>
  <c r="Q51" i="4"/>
  <c r="P51" i="4"/>
  <c r="O51" i="4"/>
  <c r="N51" i="4"/>
  <c r="M51" i="4"/>
  <c r="L51" i="4"/>
  <c r="K51" i="4"/>
  <c r="J51" i="4"/>
  <c r="I51" i="4"/>
  <c r="H51" i="4"/>
  <c r="G51" i="4"/>
  <c r="R50" i="4"/>
  <c r="Q50" i="4"/>
  <c r="P50" i="4"/>
  <c r="O50" i="4"/>
  <c r="N50" i="4"/>
  <c r="M50" i="4"/>
  <c r="L50" i="4"/>
  <c r="K50" i="4"/>
  <c r="J50" i="4"/>
  <c r="I50" i="4"/>
  <c r="H50" i="4"/>
  <c r="G50" i="4"/>
  <c r="R49" i="4"/>
  <c r="Q49" i="4"/>
  <c r="P49" i="4"/>
  <c r="O49" i="4"/>
  <c r="N49" i="4"/>
  <c r="M49" i="4"/>
  <c r="L49" i="4"/>
  <c r="K49" i="4"/>
  <c r="J49" i="4"/>
  <c r="I49" i="4"/>
  <c r="H49" i="4"/>
  <c r="G49" i="4"/>
  <c r="R48" i="4"/>
  <c r="Q48" i="4"/>
  <c r="P48" i="4"/>
  <c r="O48" i="4"/>
  <c r="N48" i="4"/>
  <c r="M48" i="4"/>
  <c r="L48" i="4"/>
  <c r="K48" i="4"/>
  <c r="J48" i="4"/>
  <c r="I48" i="4"/>
  <c r="H48" i="4"/>
  <c r="G48" i="4"/>
  <c r="R47" i="4"/>
  <c r="Q47" i="4"/>
  <c r="P47" i="4"/>
  <c r="O47" i="4"/>
  <c r="N47" i="4"/>
  <c r="M47" i="4"/>
  <c r="L47" i="4"/>
  <c r="K47" i="4"/>
  <c r="J47" i="4"/>
  <c r="I47" i="4"/>
  <c r="H47" i="4"/>
  <c r="G47" i="4"/>
  <c r="R46" i="4"/>
  <c r="Q46" i="4"/>
  <c r="P46" i="4"/>
  <c r="O46" i="4"/>
  <c r="N46" i="4"/>
  <c r="M46" i="4"/>
  <c r="L46" i="4"/>
  <c r="K46" i="4"/>
  <c r="J46" i="4"/>
  <c r="I46" i="4"/>
  <c r="H46" i="4"/>
  <c r="G46" i="4"/>
  <c r="R45" i="4"/>
  <c r="Q45" i="4"/>
  <c r="P45" i="4"/>
  <c r="O45" i="4"/>
  <c r="N45" i="4"/>
  <c r="M45" i="4"/>
  <c r="L45" i="4"/>
  <c r="K45" i="4"/>
  <c r="J45" i="4"/>
  <c r="I45" i="4"/>
  <c r="H45" i="4"/>
  <c r="G45" i="4"/>
  <c r="R44" i="4"/>
  <c r="Q44" i="4"/>
  <c r="P44" i="4"/>
  <c r="O44" i="4"/>
  <c r="N44" i="4"/>
  <c r="M44" i="4"/>
  <c r="L44" i="4"/>
  <c r="K44" i="4"/>
  <c r="J44" i="4"/>
  <c r="I44" i="4"/>
  <c r="H44" i="4"/>
  <c r="G44" i="4"/>
  <c r="R43" i="4"/>
  <c r="Q43" i="4"/>
  <c r="P43" i="4"/>
  <c r="O43" i="4"/>
  <c r="N43" i="4"/>
  <c r="M43" i="4"/>
  <c r="L43" i="4"/>
  <c r="K43" i="4"/>
  <c r="J43" i="4"/>
  <c r="I43" i="4"/>
  <c r="H43" i="4"/>
  <c r="G43" i="4"/>
  <c r="R42" i="4"/>
  <c r="Q42" i="4"/>
  <c r="P42" i="4"/>
  <c r="O42" i="4"/>
  <c r="N42" i="4"/>
  <c r="M42" i="4"/>
  <c r="L42" i="4"/>
  <c r="K42" i="4"/>
  <c r="J42" i="4"/>
  <c r="I42" i="4"/>
  <c r="H42" i="4"/>
  <c r="G42" i="4"/>
  <c r="R41" i="4"/>
  <c r="Q41" i="4"/>
  <c r="P41" i="4"/>
  <c r="O41" i="4"/>
  <c r="N41" i="4"/>
  <c r="M41" i="4"/>
  <c r="L41" i="4"/>
  <c r="K41" i="4"/>
  <c r="J41" i="4"/>
  <c r="I41" i="4"/>
  <c r="H41" i="4"/>
  <c r="G41" i="4"/>
  <c r="R40" i="4"/>
  <c r="Q40" i="4"/>
  <c r="P40" i="4"/>
  <c r="O40" i="4"/>
  <c r="N40" i="4"/>
  <c r="M40" i="4"/>
  <c r="L40" i="4"/>
  <c r="K40" i="4"/>
  <c r="J40" i="4"/>
  <c r="I40" i="4"/>
  <c r="H40" i="4"/>
  <c r="G40" i="4"/>
  <c r="R39" i="4"/>
  <c r="Q39" i="4"/>
  <c r="P39" i="4"/>
  <c r="O39" i="4"/>
  <c r="N39" i="4"/>
  <c r="M39" i="4"/>
  <c r="L39" i="4"/>
  <c r="K39" i="4"/>
  <c r="J39" i="4"/>
  <c r="I39" i="4"/>
  <c r="H39" i="4"/>
  <c r="G39" i="4"/>
  <c r="R38" i="4"/>
  <c r="Q38" i="4"/>
  <c r="P38" i="4"/>
  <c r="O38" i="4"/>
  <c r="N38" i="4"/>
  <c r="M38" i="4"/>
  <c r="L38" i="4"/>
  <c r="K38" i="4"/>
  <c r="J38" i="4"/>
  <c r="I38" i="4"/>
  <c r="H38" i="4"/>
  <c r="G38" i="4"/>
  <c r="R37" i="4"/>
  <c r="Q37" i="4"/>
  <c r="P37" i="4"/>
  <c r="O37" i="4"/>
  <c r="N37" i="4"/>
  <c r="M37" i="4"/>
  <c r="L37" i="4"/>
  <c r="K37" i="4"/>
  <c r="J37" i="4"/>
  <c r="I37" i="4"/>
  <c r="H37" i="4"/>
  <c r="G37" i="4"/>
  <c r="R36" i="4"/>
  <c r="Q36" i="4"/>
  <c r="P36" i="4"/>
  <c r="O36" i="4"/>
  <c r="N36" i="4"/>
  <c r="M36" i="4"/>
  <c r="L36" i="4"/>
  <c r="K36" i="4"/>
  <c r="J36" i="4"/>
  <c r="I36" i="4"/>
  <c r="H36" i="4"/>
  <c r="G36" i="4"/>
  <c r="R35" i="4"/>
  <c r="Q35" i="4"/>
  <c r="P35" i="4"/>
  <c r="O35" i="4"/>
  <c r="N35" i="4"/>
  <c r="M35" i="4"/>
  <c r="L35" i="4"/>
  <c r="K35" i="4"/>
  <c r="J35" i="4"/>
  <c r="I35" i="4"/>
  <c r="H35" i="4"/>
  <c r="G35" i="4"/>
  <c r="R34" i="4"/>
  <c r="Q34" i="4"/>
  <c r="P34" i="4"/>
  <c r="O34" i="4"/>
  <c r="N34" i="4"/>
  <c r="M34" i="4"/>
  <c r="L34" i="4"/>
  <c r="K34" i="4"/>
  <c r="J34" i="4"/>
  <c r="I34" i="4"/>
  <c r="H34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N744" i="2"/>
  <c r="N743" i="2"/>
  <c r="N742" i="2"/>
  <c r="N741" i="2"/>
  <c r="N740" i="2"/>
  <c r="N739" i="2"/>
  <c r="N738" i="2"/>
  <c r="N737" i="2"/>
  <c r="N736" i="2"/>
  <c r="N735" i="2"/>
  <c r="N734" i="2"/>
  <c r="N733" i="2"/>
  <c r="N732" i="2"/>
  <c r="N731" i="2"/>
  <c r="N730" i="2"/>
  <c r="N729" i="2"/>
  <c r="N728" i="2"/>
  <c r="N727" i="2"/>
  <c r="N726" i="2"/>
  <c r="N725" i="2"/>
  <c r="N724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6" i="2"/>
  <c r="N695" i="2"/>
  <c r="N694" i="2"/>
  <c r="N693" i="2"/>
  <c r="N692" i="2"/>
  <c r="N691" i="2"/>
  <c r="N690" i="2"/>
  <c r="N689" i="2"/>
  <c r="N688" i="2"/>
  <c r="N687" i="2"/>
  <c r="N686" i="2"/>
  <c r="N685" i="2"/>
  <c r="N684" i="2"/>
  <c r="N683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M550" i="2" a="1"/>
  <c r="M550" i="2" s="1"/>
  <c r="N550" i="2" s="1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L500" i="2" a="1"/>
  <c r="L500" i="2" s="1"/>
  <c r="N500" i="2" s="1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K460" i="2" a="1"/>
  <c r="K460" i="2"/>
  <c r="N460" i="2" s="1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J400" i="2" a="1"/>
  <c r="J400" i="2" s="1"/>
  <c r="N400" i="2" s="1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I350" i="2" a="1"/>
  <c r="I350" i="2" s="1"/>
  <c r="N350" i="2" s="1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H300" i="2" a="1"/>
  <c r="H300" i="2"/>
  <c r="N300" i="2" s="1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G250" i="2" a="1"/>
  <c r="G250" i="2" s="1"/>
  <c r="N250" i="2" s="1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F200" i="2" a="1"/>
  <c r="F200" i="2" s="1"/>
  <c r="N200" i="2" s="1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E150" i="2" a="1"/>
  <c r="E150" i="2"/>
  <c r="N150" i="2" s="1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D100" i="2" a="1"/>
  <c r="D100" i="2" s="1"/>
  <c r="N100" i="2" s="1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C48" i="2" a="1"/>
  <c r="C48" i="2" s="1"/>
  <c r="N48" i="2" s="1"/>
  <c r="N47" i="2"/>
  <c r="N46" i="2"/>
  <c r="N45" i="2"/>
  <c r="N44" i="2"/>
  <c r="N43" i="2"/>
  <c r="N42" i="2"/>
  <c r="N41" i="2"/>
  <c r="N40" i="2"/>
  <c r="S39" i="2"/>
  <c r="N39" i="2"/>
  <c r="S38" i="2"/>
  <c r="N38" i="2"/>
  <c r="S37" i="2"/>
  <c r="N37" i="2"/>
  <c r="S36" i="2"/>
  <c r="N36" i="2"/>
  <c r="S35" i="2"/>
  <c r="N35" i="2"/>
  <c r="S34" i="2"/>
  <c r="N34" i="2"/>
  <c r="S33" i="2"/>
  <c r="N33" i="2"/>
  <c r="AC32" i="2"/>
  <c r="S32" i="2"/>
  <c r="N32" i="2"/>
  <c r="AC31" i="2"/>
  <c r="S31" i="2"/>
  <c r="N31" i="2"/>
  <c r="AC30" i="2"/>
  <c r="S30" i="2"/>
  <c r="N30" i="2"/>
  <c r="AC29" i="2"/>
  <c r="S29" i="2"/>
  <c r="N29" i="2"/>
  <c r="AC28" i="2"/>
  <c r="S28" i="2"/>
  <c r="N28" i="2"/>
  <c r="AC27" i="2"/>
  <c r="AA27" i="2"/>
  <c r="S27" i="2"/>
  <c r="N27" i="2"/>
  <c r="AC26" i="2"/>
  <c r="AA26" i="2"/>
  <c r="S26" i="2"/>
  <c r="N26" i="2"/>
  <c r="AC25" i="2"/>
  <c r="AA25" i="2"/>
  <c r="S25" i="2"/>
  <c r="N25" i="2"/>
  <c r="AC24" i="2"/>
  <c r="AA24" i="2"/>
  <c r="S24" i="2"/>
  <c r="N24" i="2"/>
  <c r="AC23" i="2"/>
  <c r="AA23" i="2"/>
  <c r="N23" i="2"/>
  <c r="AC22" i="2"/>
  <c r="AA22" i="2"/>
  <c r="N22" i="2"/>
  <c r="AC21" i="2"/>
  <c r="AA21" i="2"/>
  <c r="N21" i="2"/>
  <c r="AC20" i="2"/>
  <c r="AA20" i="2"/>
  <c r="N20" i="2"/>
  <c r="AC19" i="2"/>
  <c r="AA19" i="2"/>
  <c r="N19" i="2"/>
  <c r="AC18" i="2"/>
  <c r="AA18" i="2"/>
  <c r="N18" i="2"/>
  <c r="AC17" i="2"/>
  <c r="AA17" i="2"/>
  <c r="N17" i="2"/>
  <c r="AC16" i="2"/>
  <c r="AA16" i="2"/>
  <c r="N16" i="2"/>
  <c r="AC15" i="2"/>
  <c r="AA15" i="2"/>
  <c r="N15" i="2"/>
  <c r="AC14" i="2"/>
  <c r="AA14" i="2"/>
  <c r="W14" i="2"/>
  <c r="N14" i="2"/>
  <c r="AC13" i="2"/>
  <c r="AA13" i="2"/>
  <c r="W13" i="2"/>
  <c r="N13" i="2"/>
  <c r="AC12" i="2"/>
  <c r="AA12" i="2"/>
  <c r="W12" i="2"/>
  <c r="N12" i="2"/>
  <c r="AC11" i="2"/>
  <c r="AA11" i="2"/>
  <c r="W11" i="2"/>
  <c r="S11" i="2"/>
  <c r="N11" i="2"/>
  <c r="AC10" i="2"/>
  <c r="AA10" i="2"/>
  <c r="W10" i="2"/>
  <c r="S10" i="2"/>
  <c r="N10" i="2"/>
  <c r="AC9" i="2"/>
  <c r="AA9" i="2"/>
  <c r="W9" i="2"/>
  <c r="S9" i="2"/>
  <c r="N9" i="2"/>
  <c r="AC8" i="2"/>
  <c r="AA8" i="2"/>
  <c r="W8" i="2"/>
  <c r="S8" i="2"/>
  <c r="N8" i="2"/>
  <c r="AC7" i="2"/>
  <c r="AA7" i="2"/>
  <c r="W7" i="2"/>
  <c r="S7" i="2"/>
  <c r="N7" i="2"/>
  <c r="AC6" i="2"/>
  <c r="AA6" i="2"/>
  <c r="W6" i="2"/>
  <c r="S6" i="2"/>
  <c r="N6" i="2"/>
  <c r="AC5" i="2"/>
  <c r="AA5" i="2"/>
  <c r="W5" i="2"/>
  <c r="S5" i="2"/>
  <c r="N5" i="2"/>
  <c r="AF4" i="2"/>
  <c r="AC4" i="2"/>
  <c r="AA4" i="2"/>
  <c r="W4" i="2"/>
  <c r="S4" i="2"/>
  <c r="N4" i="2"/>
  <c r="AC3" i="2"/>
  <c r="AA3" i="2"/>
  <c r="Y3" i="2"/>
  <c r="W3" i="2"/>
  <c r="U3" i="2"/>
  <c r="S3" i="2"/>
  <c r="Q3" i="2"/>
  <c r="O3" i="2"/>
  <c r="B3" i="2" a="1"/>
  <c r="B3" i="2" s="1"/>
  <c r="N3" i="2" s="1"/>
  <c r="D11" i="1"/>
  <c r="D7" i="1"/>
  <c r="E5" i="1"/>
</calcChain>
</file>

<file path=xl/sharedStrings.xml><?xml version="1.0" encoding="utf-8"?>
<sst xmlns="http://schemas.openxmlformats.org/spreadsheetml/2006/main" count="50" uniqueCount="49">
  <si>
    <t xml:space="preserve">OSCE Exam Link </t>
  </si>
  <si>
    <t>Course Name</t>
  </si>
  <si>
    <t>Course Coordinator</t>
  </si>
  <si>
    <t>Academic Year</t>
  </si>
  <si>
    <t>Assessment Date</t>
  </si>
  <si>
    <t xml:space="preserve">System use instruction </t>
  </si>
  <si>
    <t>Instruction video</t>
  </si>
  <si>
    <t>Click to play</t>
  </si>
  <si>
    <t>©2024 Dr. Khaled Shahat. All rights reserved.</t>
  </si>
  <si>
    <t>Calculation to identify assessment event for each student</t>
  </si>
  <si>
    <t xml:space="preserve">Item </t>
  </si>
  <si>
    <t>Final Item</t>
  </si>
  <si>
    <t>Uniq ILO</t>
  </si>
  <si>
    <t>ILO List</t>
  </si>
  <si>
    <t>Uniq GA</t>
  </si>
  <si>
    <t>Graduate Attributes List</t>
  </si>
  <si>
    <t>Unique Competency</t>
  </si>
  <si>
    <t>Competency List</t>
  </si>
  <si>
    <t>Discipline</t>
  </si>
  <si>
    <t>Note: Staff Code for external staff is last 4 digit from mobile if start with 0 change it to 1</t>
  </si>
  <si>
    <t xml:space="preserve">Examinar Detail </t>
  </si>
  <si>
    <t xml:space="preserve">Marking Detail </t>
  </si>
  <si>
    <t>Student assesst Detail</t>
  </si>
  <si>
    <t>Code</t>
  </si>
  <si>
    <t>Staff Name</t>
  </si>
  <si>
    <t>Type</t>
  </si>
  <si>
    <t>Station</t>
  </si>
  <si>
    <t>Panel</t>
  </si>
  <si>
    <t>Average Mark</t>
  </si>
  <si>
    <t>Max</t>
  </si>
  <si>
    <t>Min</t>
  </si>
  <si>
    <t>&lt; 60</t>
  </si>
  <si>
    <t>60 - 74</t>
  </si>
  <si>
    <t>75-89</t>
  </si>
  <si>
    <t>&gt;=90</t>
  </si>
  <si>
    <t># of Student</t>
  </si>
  <si>
    <t>Cycle 1</t>
  </si>
  <si>
    <t>Cycle 2</t>
  </si>
  <si>
    <t>Cycle 3</t>
  </si>
  <si>
    <t>Cycle 4</t>
  </si>
  <si>
    <t xml:space="preserve">1. Staff Training Needs: </t>
  </si>
  <si>
    <t>2. Content Adjustment Needs:</t>
  </si>
  <si>
    <t xml:space="preserve">3. Delivery Method Change Need : </t>
  </si>
  <si>
    <t xml:space="preserve">4. Delivery Time Change Need : </t>
  </si>
  <si>
    <t>5. Formative Assessment Change Need :</t>
  </si>
  <si>
    <t xml:space="preserve">6. Other comments: </t>
  </si>
  <si>
    <t xml:space="preserve">Name: </t>
  </si>
  <si>
    <t>Date:</t>
  </si>
  <si>
    <t xml:space="preserve">Signature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</si>
</sst>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0.0"/>
  </numFmts>
  <fonts count="39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u/>
      <sz val="10"/>
      <color rgb="FF0000FF"/>
      <name val="Arial"/>
    </font>
    <font>
      <sz val="10"/>
      <color rgb="FF91C373"/>
      <name val="Arial"/>
      <scheme val="minor"/>
    </font>
    <font>
      <sz val="10"/>
      <color theme="1"/>
      <name val="Arial"/>
    </font>
    <font>
      <sz val="8"/>
      <color theme="1"/>
      <name val="Arial"/>
    </font>
    <font>
      <sz val="11"/>
      <color rgb="FF000000"/>
      <name val="Inconsolata"/>
    </font>
    <font>
      <sz val="11"/>
      <color theme="1"/>
      <name val="Arial"/>
      <scheme val="minor"/>
    </font>
    <font>
      <b/>
      <sz val="11"/>
      <color theme="1"/>
      <name val="Arial"/>
      <scheme val="minor"/>
    </font>
    <font>
      <sz val="9"/>
      <color theme="1"/>
      <name val="Arial"/>
      <scheme val="minor"/>
    </font>
    <font>
      <sz val="9"/>
      <color rgb="FFFF0000"/>
      <name val="Arial"/>
    </font>
    <font>
      <sz val="10"/>
      <name val="Arial"/>
    </font>
    <font>
      <b/>
      <sz val="11"/>
      <color rgb="FFFFFFFF"/>
      <name val="Arial"/>
    </font>
    <font>
      <b/>
      <sz val="11"/>
      <color rgb="FFFFFFFF"/>
      <name val="Arial"/>
      <scheme val="minor"/>
    </font>
    <font>
      <sz val="8"/>
      <color theme="1"/>
      <name val="Arial"/>
      <scheme val="minor"/>
    </font>
    <font>
      <sz val="11"/>
      <color theme="1"/>
      <name val="Arial"/>
    </font>
    <font>
      <sz val="10"/>
      <color theme="1"/>
      <name val="Arial"/>
      <scheme val="minor"/>
    </font>
    <font>
      <b/>
      <sz val="11"/>
      <color theme="1"/>
      <name val="Arial"/>
    </font>
    <font>
      <b/>
      <sz val="10"/>
      <color theme="1"/>
      <name val="Arial"/>
      <scheme val="minor"/>
    </font>
    <font>
      <b/>
      <sz val="9"/>
      <color theme="1"/>
      <name val="Arial"/>
      <scheme val="minor"/>
    </font>
    <font>
      <b/>
      <sz val="7"/>
      <color theme="1"/>
      <name val="Arial"/>
      <scheme val="minor"/>
    </font>
    <font>
      <sz val="10"/>
      <color rgb="FF000000"/>
      <name val="Arial"/>
    </font>
    <font>
      <b/>
      <sz val="11"/>
      <color rgb="FF980000"/>
      <name val="Arial"/>
    </font>
    <font>
      <b/>
      <sz val="11"/>
      <color rgb="FF34A853"/>
      <name val="Arial"/>
    </font>
    <font>
      <b/>
      <sz val="11"/>
      <color theme="1"/>
      <name val="Calibri"/>
    </font>
    <font>
      <b/>
      <sz val="8"/>
      <color theme="1"/>
      <name val="Arial"/>
      <scheme val="minor"/>
    </font>
    <font>
      <b/>
      <sz val="12"/>
      <color theme="1"/>
      <name val="Calibri"/>
    </font>
    <font>
      <sz val="10"/>
      <color theme="1"/>
      <name val="Calibri"/>
    </font>
    <font>
      <sz val="11"/>
      <color theme="1"/>
      <name val="Calibri"/>
    </font>
    <font>
      <b/>
      <sz val="12"/>
      <color rgb="FFFFFFFF"/>
      <name val="Calibri"/>
    </font>
    <font>
      <b/>
      <sz val="12"/>
      <color rgb="FFFFFFFF"/>
      <name val="Arial"/>
      <scheme val="minor"/>
    </font>
    <font>
      <sz val="8"/>
      <color rgb="FF666666"/>
      <name val="Arial"/>
    </font>
    <font>
      <sz val="12"/>
      <color theme="1"/>
      <name val="Calibri"/>
    </font>
    <font>
      <b/>
      <sz val="12"/>
      <color rgb="FF4A86E8"/>
      <name val="Calibri"/>
    </font>
    <font>
      <b/>
      <sz val="10"/>
      <color rgb="FF4A86E8"/>
      <name val="Calibri"/>
    </font>
    <font>
      <sz val="9"/>
      <color rgb="FF666666"/>
      <name val="Arial"/>
      <scheme val="minor"/>
    </font>
    <font>
      <b/>
      <sz val="11"/>
      <color rgb="FF434343"/>
      <name val="Calibri"/>
    </font>
    <font>
      <b/>
      <sz val="11"/>
      <color rgb="FFFFFFFF"/>
      <name val="Calibri"/>
    </font>
  </fonts>
  <fills count="37">
    <fill>
      <patternFill patternType="none"/>
    </fill>
    <fill>
      <patternFill patternType="gray125"/>
    </fill>
    <fill>
      <patternFill patternType="solid">
        <fgColor rgb="FFF0FFEB"/>
        <bgColor rgb="FFF0FFEB"/>
      </patternFill>
    </fill>
    <fill>
      <patternFill patternType="solid">
        <fgColor rgb="FFF6FFF3"/>
        <bgColor rgb="FFF6FFF3"/>
      </patternFill>
    </fill>
    <fill>
      <patternFill patternType="solid">
        <fgColor rgb="FFFFF2CC"/>
        <bgColor rgb="FFFFF2CC"/>
      </patternFill>
    </fill>
    <fill>
      <patternFill patternType="solid">
        <fgColor rgb="FFFFF8E3"/>
        <bgColor rgb="FFFFF8E3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F1EFEF"/>
        <bgColor rgb="FFF1EFEF"/>
      </patternFill>
    </fill>
    <fill>
      <patternFill patternType="solid">
        <fgColor rgb="FFF7F0DA"/>
        <bgColor rgb="FFF7F0DA"/>
      </patternFill>
    </fill>
    <fill>
      <patternFill patternType="solid">
        <fgColor rgb="FFDAF1D2"/>
        <bgColor rgb="FFDAF1D2"/>
      </patternFill>
    </fill>
    <fill>
      <patternFill patternType="solid">
        <fgColor rgb="FFF7F7F7"/>
        <bgColor rgb="FFF7F7F7"/>
      </patternFill>
    </fill>
    <fill>
      <patternFill patternType="solid">
        <fgColor rgb="FFFFF9E6"/>
        <bgColor rgb="FFFFF9E6"/>
      </patternFill>
    </fill>
    <fill>
      <patternFill patternType="solid">
        <fgColor rgb="FF4A86E8"/>
        <bgColor rgb="FF4A86E8"/>
      </patternFill>
    </fill>
    <fill>
      <patternFill patternType="solid">
        <fgColor rgb="FFEFF6FC"/>
        <bgColor rgb="FFEFF6FC"/>
      </patternFill>
    </fill>
    <fill>
      <patternFill patternType="solid">
        <fgColor rgb="FFEFEFEF"/>
        <bgColor rgb="FFEFEFEF"/>
      </patternFill>
    </fill>
    <fill>
      <patternFill patternType="solid">
        <fgColor rgb="FFFCE5CD"/>
        <bgColor rgb="FFFCE5CD"/>
      </patternFill>
    </fill>
    <fill>
      <patternFill patternType="solid">
        <fgColor rgb="FFFFF7FA"/>
        <bgColor rgb="FFFFF7FA"/>
      </patternFill>
    </fill>
    <fill>
      <patternFill patternType="solid">
        <fgColor rgb="FFFFFBF4"/>
        <bgColor rgb="FFFFFBF4"/>
      </patternFill>
    </fill>
    <fill>
      <patternFill patternType="solid">
        <fgColor rgb="FFF7FDFF"/>
        <bgColor rgb="FFF7FDFF"/>
      </patternFill>
    </fill>
    <fill>
      <patternFill patternType="solid">
        <fgColor rgb="FFEEFEFF"/>
        <bgColor rgb="FFEEFEFF"/>
      </patternFill>
    </fill>
    <fill>
      <patternFill patternType="solid">
        <fgColor rgb="FFFFFDF7"/>
        <bgColor rgb="FFFFFDF7"/>
      </patternFill>
    </fill>
    <fill>
      <patternFill patternType="solid">
        <fgColor rgb="FFFFF9FC"/>
        <bgColor rgb="FFFFF9FC"/>
      </patternFill>
    </fill>
    <fill>
      <patternFill patternType="solid">
        <fgColor rgb="FFEAFAFF"/>
        <bgColor rgb="FFEAFAFF"/>
      </patternFill>
    </fill>
    <fill>
      <patternFill patternType="solid">
        <fgColor rgb="FFC9DAF8"/>
        <bgColor rgb="FFC9DAF8"/>
      </patternFill>
    </fill>
    <fill>
      <patternFill patternType="solid">
        <fgColor rgb="FF6AA84F"/>
        <bgColor rgb="FF6AA84F"/>
      </patternFill>
    </fill>
    <fill>
      <patternFill patternType="solid">
        <fgColor rgb="FFE2EFD9"/>
        <bgColor rgb="FFE2EFD9"/>
      </patternFill>
    </fill>
    <fill>
      <patternFill patternType="solid">
        <fgColor rgb="FFFF9900"/>
        <bgColor rgb="FFFF9900"/>
      </patternFill>
    </fill>
    <fill>
      <patternFill patternType="solid">
        <fgColor rgb="FFFFEDDB"/>
        <bgColor rgb="FFFFEDDB"/>
      </patternFill>
    </fill>
    <fill>
      <patternFill patternType="solid">
        <fgColor rgb="FF6D9EEB"/>
        <bgColor rgb="FF6D9EEB"/>
      </patternFill>
    </fill>
    <fill>
      <patternFill patternType="solid">
        <fgColor rgb="FFE7F0FF"/>
        <bgColor rgb="FFE7F0FF"/>
      </patternFill>
    </fill>
    <fill>
      <patternFill patternType="solid">
        <fgColor rgb="FF76A5AF"/>
        <bgColor rgb="FF76A5AF"/>
      </patternFill>
    </fill>
    <fill>
      <patternFill patternType="solid">
        <fgColor rgb="FFEDF9FC"/>
        <bgColor rgb="FFEDF9FC"/>
      </patternFill>
    </fill>
    <fill>
      <patternFill patternType="solid">
        <fgColor rgb="FF5B9BD5"/>
        <bgColor rgb="FF5B9BD5"/>
      </patternFill>
    </fill>
    <fill>
      <patternFill patternType="solid">
        <fgColor rgb="FFEBF2FF"/>
        <bgColor rgb="FFEBF2FF"/>
      </patternFill>
    </fill>
    <fill>
      <patternFill patternType="solid">
        <fgColor rgb="FFF58A1A"/>
        <bgColor rgb="FFF58A1A"/>
      </patternFill>
    </fill>
    <fill>
      <patternFill patternType="solid">
        <fgColor rgb="FFFFF0D5"/>
        <bgColor rgb="FFFFF0D5"/>
      </patternFill>
    </fill>
  </fills>
  <borders count="88">
    <border>
      <left/>
      <right/>
      <top/>
      <bottom/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/>
      <top style="thin">
        <color rgb="FF000000"/>
      </top>
      <bottom/>
      <diagonal/>
    </border>
    <border>
      <left/>
      <right style="dotted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/>
      <bottom/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/>
      <right/>
      <top/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666666"/>
      </left>
      <right/>
      <top style="thin">
        <color rgb="FF666666"/>
      </top>
      <bottom style="hair">
        <color rgb="FF999999"/>
      </bottom>
      <diagonal/>
    </border>
    <border>
      <left/>
      <right/>
      <top style="thin">
        <color rgb="FF666666"/>
      </top>
      <bottom style="hair">
        <color rgb="FF999999"/>
      </bottom>
      <diagonal/>
    </border>
    <border>
      <left/>
      <right style="thin">
        <color rgb="FF666666"/>
      </right>
      <top style="thin">
        <color rgb="FF666666"/>
      </top>
      <bottom style="hair">
        <color rgb="FF999999"/>
      </bottom>
      <diagonal/>
    </border>
    <border>
      <left style="thin">
        <color rgb="FF666666"/>
      </left>
      <right style="hair">
        <color rgb="FF999999"/>
      </right>
      <top/>
      <bottom style="hair">
        <color rgb="FF999999"/>
      </bottom>
      <diagonal/>
    </border>
    <border>
      <left/>
      <right/>
      <top/>
      <bottom style="hair">
        <color rgb="FF999999"/>
      </bottom>
      <diagonal/>
    </border>
    <border>
      <left/>
      <right style="hair">
        <color rgb="FF999999"/>
      </right>
      <top/>
      <bottom style="hair">
        <color rgb="FF999999"/>
      </bottom>
      <diagonal/>
    </border>
    <border>
      <left/>
      <right style="thin">
        <color rgb="FF666666"/>
      </right>
      <top/>
      <bottom style="hair">
        <color rgb="FF999999"/>
      </bottom>
      <diagonal/>
    </border>
    <border>
      <left style="thin">
        <color rgb="FF666666"/>
      </left>
      <right style="hair">
        <color rgb="FF999999"/>
      </right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hair">
        <color rgb="FF999999"/>
      </right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dotted">
        <color rgb="FF999999"/>
      </bottom>
      <diagonal/>
    </border>
    <border>
      <left/>
      <right/>
      <top style="thin">
        <color rgb="FF666666"/>
      </top>
      <bottom style="dotted">
        <color rgb="FF999999"/>
      </bottom>
      <diagonal/>
    </border>
    <border>
      <left/>
      <right style="thin">
        <color rgb="FF666666"/>
      </right>
      <top style="thin">
        <color rgb="FF666666"/>
      </top>
      <bottom style="dotted">
        <color rgb="FF999999"/>
      </bottom>
      <diagonal/>
    </border>
    <border>
      <left style="thin">
        <color rgb="FF666666"/>
      </left>
      <right style="dotted">
        <color rgb="FF999999"/>
      </right>
      <top/>
      <bottom style="dotted">
        <color rgb="FF999999"/>
      </bottom>
      <diagonal/>
    </border>
    <border>
      <left/>
      <right style="dotted">
        <color rgb="FF999999"/>
      </right>
      <top/>
      <bottom style="dotted">
        <color rgb="FF999999"/>
      </bottom>
      <diagonal/>
    </border>
    <border>
      <left/>
      <right/>
      <top/>
      <bottom style="dotted">
        <color rgb="FF999999"/>
      </bottom>
      <diagonal/>
    </border>
    <border>
      <left/>
      <right style="thin">
        <color rgb="FF666666"/>
      </right>
      <top/>
      <bottom style="dotted">
        <color rgb="FF999999"/>
      </bottom>
      <diagonal/>
    </border>
    <border>
      <left style="thin">
        <color rgb="FF666666"/>
      </left>
      <right style="dotted">
        <color rgb="FF999999"/>
      </right>
      <top/>
      <bottom style="thin">
        <color rgb="FF666666"/>
      </bottom>
      <diagonal/>
    </border>
    <border>
      <left/>
      <right style="dotted">
        <color rgb="FF999999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dotted">
        <color rgb="FF666666"/>
      </right>
      <top style="thin">
        <color rgb="FF666666"/>
      </top>
      <bottom style="dotted">
        <color rgb="FF666666"/>
      </bottom>
      <diagonal/>
    </border>
    <border>
      <left style="dotted">
        <color rgb="FF666666"/>
      </left>
      <right style="dotted">
        <color rgb="FF666666"/>
      </right>
      <top style="thin">
        <color rgb="FF666666"/>
      </top>
      <bottom style="dotted">
        <color rgb="FF666666"/>
      </bottom>
      <diagonal/>
    </border>
    <border>
      <left style="dotted">
        <color rgb="FF666666"/>
      </left>
      <right style="thin">
        <color rgb="FF666666"/>
      </right>
      <top style="thin">
        <color rgb="FF666666"/>
      </top>
      <bottom style="dotted">
        <color rgb="FF666666"/>
      </bottom>
      <diagonal/>
    </border>
    <border>
      <left style="thin">
        <color rgb="FF666666"/>
      </left>
      <right style="dotted">
        <color rgb="FF666666"/>
      </right>
      <top style="dotted">
        <color rgb="FF666666"/>
      </top>
      <bottom style="dotted">
        <color rgb="FF666666"/>
      </bottom>
      <diagonal/>
    </border>
    <border>
      <left style="dotted">
        <color rgb="FF666666"/>
      </left>
      <right style="dotted">
        <color rgb="FF666666"/>
      </right>
      <top style="dotted">
        <color rgb="FF666666"/>
      </top>
      <bottom style="dotted">
        <color rgb="FF666666"/>
      </bottom>
      <diagonal/>
    </border>
    <border>
      <left style="dotted">
        <color rgb="FF666666"/>
      </left>
      <right style="thin">
        <color rgb="FF666666"/>
      </right>
      <top style="dotted">
        <color rgb="FF666666"/>
      </top>
      <bottom style="dotted">
        <color rgb="FF666666"/>
      </bottom>
      <diagonal/>
    </border>
    <border>
      <left style="dotted">
        <color rgb="FF666666"/>
      </left>
      <right style="dotted">
        <color rgb="FF666666"/>
      </right>
      <top style="dotted">
        <color rgb="FF666666"/>
      </top>
      <bottom/>
      <diagonal/>
    </border>
    <border>
      <left style="dotted">
        <color rgb="FF666666"/>
      </left>
      <right style="thin">
        <color rgb="FF666666"/>
      </right>
      <top style="dotted">
        <color rgb="FF666666"/>
      </top>
      <bottom/>
      <diagonal/>
    </border>
    <border>
      <left style="dotted">
        <color rgb="FF666666"/>
      </left>
      <right style="dotted">
        <color rgb="FF666666"/>
      </right>
      <top style="dotted">
        <color rgb="FF666666"/>
      </top>
      <bottom style="thin">
        <color rgb="FF666666"/>
      </bottom>
      <diagonal/>
    </border>
    <border>
      <left style="dotted">
        <color rgb="FF666666"/>
      </left>
      <right style="thin">
        <color rgb="FF666666"/>
      </right>
      <top style="dotted">
        <color rgb="FF666666"/>
      </top>
      <bottom style="thin">
        <color rgb="FF666666"/>
      </bottom>
      <diagonal/>
    </border>
    <border>
      <left style="dotted">
        <color rgb="FFB7B7B7"/>
      </left>
      <right style="dotted">
        <color rgb="FFB7B7B7"/>
      </right>
      <top/>
      <bottom style="dotted">
        <color rgb="FFB7B7B7"/>
      </bottom>
      <diagonal/>
    </border>
    <border>
      <left style="dotted">
        <color rgb="FF666666"/>
      </left>
      <right style="dotted">
        <color rgb="FF666666"/>
      </right>
      <top style="thin">
        <color rgb="FF666666"/>
      </top>
      <bottom/>
      <diagonal/>
    </border>
    <border>
      <left style="dotted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dotted">
        <color rgb="FF666666"/>
      </right>
      <top style="dotted">
        <color rgb="FF666666"/>
      </top>
      <bottom style="thin">
        <color rgb="FF666666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dotted">
        <color rgb="FFB7B7B7"/>
      </left>
      <right/>
      <top style="dotted">
        <color rgb="FFB7B7B7"/>
      </top>
      <bottom style="dotted">
        <color rgb="FFB7B7B7"/>
      </bottom>
      <diagonal/>
    </border>
    <border>
      <left/>
      <right style="dotted">
        <color rgb="FFB7B7B7"/>
      </right>
      <top style="dotted">
        <color rgb="FFB7B7B7"/>
      </top>
      <bottom style="dotted">
        <color rgb="FFB7B7B7"/>
      </bottom>
      <diagonal/>
    </border>
    <border>
      <left style="dotted">
        <color rgb="FFB7B7B7"/>
      </left>
      <right style="dotted">
        <color rgb="FFB7B7B7"/>
      </right>
      <top style="dotted">
        <color rgb="FFB7B7B7"/>
      </top>
      <bottom style="dotted">
        <color rgb="FFB7B7B7"/>
      </bottom>
      <diagonal/>
    </border>
    <border>
      <left/>
      <right style="dotted">
        <color rgb="FF999999"/>
      </right>
      <top/>
      <bottom/>
      <diagonal/>
    </border>
    <border>
      <left/>
      <right/>
      <top/>
      <bottom style="dotted">
        <color rgb="FF666666"/>
      </bottom>
      <diagonal/>
    </border>
    <border>
      <left/>
      <right style="dotted">
        <color rgb="FF666666"/>
      </right>
      <top/>
      <bottom/>
      <diagonal/>
    </border>
    <border>
      <left/>
      <right style="dotted">
        <color rgb="FF666666"/>
      </right>
      <top/>
      <bottom style="dotted">
        <color rgb="FF666666"/>
      </bottom>
      <diagonal/>
    </border>
  </borders>
  <cellStyleXfs count="1">
    <xf numFmtId="0" fontId="0" fillId="0" borderId="0"/>
  </cellStyleXfs>
  <cellXfs count="325">
    <xf numFmtId="0" fontId="0" fillId="0" borderId="0" xfId="0"/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49" fontId="5" fillId="3" borderId="0" xfId="0" applyNumberFormat="1" applyFont="1" applyFill="1" applyAlignment="1">
      <alignment vertical="center"/>
    </xf>
    <xf numFmtId="49" fontId="5" fillId="3" borderId="0" xfId="0" applyNumberFormat="1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9" fillId="11" borderId="1" xfId="0" applyFont="1" applyFill="1" applyBorder="1" applyAlignment="1">
      <alignment horizontal="left" vertical="center" wrapText="1"/>
    </xf>
    <xf numFmtId="0" fontId="9" fillId="11" borderId="2" xfId="0" applyFont="1" applyFill="1" applyBorder="1" applyAlignment="1">
      <alignment horizontal="left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/>
    </xf>
    <xf numFmtId="10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10" fontId="1" fillId="0" borderId="0" xfId="0" applyNumberFormat="1" applyFont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13" borderId="16" xfId="0" applyFont="1" applyFill="1" applyBorder="1" applyAlignment="1">
      <alignment horizontal="center"/>
    </xf>
    <xf numFmtId="0" fontId="13" fillId="13" borderId="13" xfId="0" applyFont="1" applyFill="1" applyBorder="1" applyAlignment="1">
      <alignment horizontal="center"/>
    </xf>
    <xf numFmtId="0" fontId="14" fillId="13" borderId="16" xfId="0" applyFont="1" applyFill="1" applyBorder="1" applyAlignment="1">
      <alignment horizontal="center" vertical="center"/>
    </xf>
    <xf numFmtId="0" fontId="8" fillId="13" borderId="0" xfId="0" applyFont="1" applyFill="1" applyAlignment="1">
      <alignment horizontal="center" vertical="center" wrapText="1"/>
    </xf>
    <xf numFmtId="2" fontId="8" fillId="13" borderId="0" xfId="0" applyNumberFormat="1" applyFont="1" applyFill="1" applyAlignment="1">
      <alignment horizontal="center" vertical="center"/>
    </xf>
    <xf numFmtId="0" fontId="8" fillId="13" borderId="0" xfId="0" applyFont="1" applyFill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0" fontId="16" fillId="3" borderId="17" xfId="0" applyFont="1" applyFill="1" applyBorder="1" applyAlignment="1">
      <alignment horizontal="center"/>
    </xf>
    <xf numFmtId="10" fontId="16" fillId="3" borderId="18" xfId="0" applyNumberFormat="1" applyFont="1" applyFill="1" applyBorder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19" fillId="7" borderId="23" xfId="0" applyFont="1" applyFill="1" applyBorder="1" applyAlignment="1">
      <alignment horizontal="center" vertical="center" wrapText="1"/>
    </xf>
    <xf numFmtId="0" fontId="20" fillId="14" borderId="15" xfId="0" applyFont="1" applyFill="1" applyBorder="1" applyAlignment="1">
      <alignment horizontal="center" vertical="center" wrapText="1"/>
    </xf>
    <xf numFmtId="2" fontId="21" fillId="14" borderId="25" xfId="0" applyNumberFormat="1" applyFont="1" applyFill="1" applyBorder="1" applyAlignment="1">
      <alignment horizontal="center" vertical="center"/>
    </xf>
    <xf numFmtId="2" fontId="19" fillId="14" borderId="27" xfId="0" applyNumberFormat="1" applyFont="1" applyFill="1" applyBorder="1" applyAlignment="1">
      <alignment horizontal="center" vertical="center"/>
    </xf>
    <xf numFmtId="2" fontId="21" fillId="14" borderId="27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9" fillId="7" borderId="30" xfId="0" applyFont="1" applyFill="1" applyBorder="1" applyAlignment="1">
      <alignment horizontal="center" vertical="center" wrapText="1"/>
    </xf>
    <xf numFmtId="4" fontId="17" fillId="3" borderId="6" xfId="0" applyNumberFormat="1" applyFont="1" applyFill="1" applyBorder="1" applyAlignment="1">
      <alignment horizontal="center" vertical="center"/>
    </xf>
    <xf numFmtId="0" fontId="17" fillId="3" borderId="31" xfId="0" applyFont="1" applyFill="1" applyBorder="1" applyAlignment="1">
      <alignment horizontal="center" vertical="center"/>
    </xf>
    <xf numFmtId="10" fontId="17" fillId="3" borderId="5" xfId="0" applyNumberFormat="1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10" fontId="22" fillId="3" borderId="5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9" fillId="14" borderId="9" xfId="0" applyFont="1" applyFill="1" applyBorder="1" applyAlignment="1">
      <alignment horizontal="center" vertical="center"/>
    </xf>
    <xf numFmtId="2" fontId="9" fillId="3" borderId="31" xfId="0" applyNumberFormat="1" applyFont="1" applyFill="1" applyBorder="1" applyAlignment="1">
      <alignment horizontal="center" vertical="center"/>
    </xf>
    <xf numFmtId="0" fontId="19" fillId="14" borderId="5" xfId="0" applyFont="1" applyFill="1" applyBorder="1" applyAlignment="1">
      <alignment horizontal="center" vertical="center"/>
    </xf>
    <xf numFmtId="2" fontId="9" fillId="3" borderId="5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/>
    </xf>
    <xf numFmtId="0" fontId="24" fillId="0" borderId="31" xfId="0" applyFont="1" applyBorder="1" applyAlignment="1">
      <alignment horizontal="center"/>
    </xf>
    <xf numFmtId="0" fontId="9" fillId="0" borderId="27" xfId="0" applyFont="1" applyBorder="1" applyAlignment="1">
      <alignment horizontal="center" vertical="center"/>
    </xf>
    <xf numFmtId="2" fontId="8" fillId="0" borderId="25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2" fontId="8" fillId="0" borderId="31" xfId="0" applyNumberFormat="1" applyFont="1" applyBorder="1" applyAlignment="1">
      <alignment horizontal="center" vertical="center"/>
    </xf>
    <xf numFmtId="1" fontId="8" fillId="0" borderId="31" xfId="0" applyNumberFormat="1" applyFont="1" applyBorder="1" applyAlignment="1">
      <alignment horizontal="center" vertical="center"/>
    </xf>
    <xf numFmtId="0" fontId="9" fillId="16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/>
    </xf>
    <xf numFmtId="0" fontId="24" fillId="0" borderId="37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/>
    </xf>
    <xf numFmtId="2" fontId="8" fillId="0" borderId="37" xfId="0" applyNumberFormat="1" applyFont="1" applyBorder="1" applyAlignment="1">
      <alignment horizontal="center" vertical="center"/>
    </xf>
    <xf numFmtId="1" fontId="8" fillId="0" borderId="37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2" fontId="8" fillId="0" borderId="16" xfId="0" applyNumberFormat="1" applyFont="1" applyBorder="1" applyAlignment="1">
      <alignment horizontal="center" vertical="center"/>
    </xf>
    <xf numFmtId="2" fontId="8" fillId="17" borderId="16" xfId="0" applyNumberFormat="1" applyFont="1" applyFill="1" applyBorder="1" applyAlignment="1">
      <alignment horizontal="center" vertical="center"/>
    </xf>
    <xf numFmtId="1" fontId="8" fillId="17" borderId="16" xfId="0" applyNumberFormat="1" applyFont="1" applyFill="1" applyBorder="1" applyAlignment="1">
      <alignment horizontal="center" vertical="center"/>
    </xf>
    <xf numFmtId="2" fontId="8" fillId="5" borderId="16" xfId="0" applyNumberFormat="1" applyFont="1" applyFill="1" applyBorder="1" applyAlignment="1">
      <alignment horizontal="center" vertical="center"/>
    </xf>
    <xf numFmtId="1" fontId="8" fillId="5" borderId="16" xfId="0" applyNumberFormat="1" applyFont="1" applyFill="1" applyBorder="1" applyAlignment="1">
      <alignment horizontal="center" vertical="center"/>
    </xf>
    <xf numFmtId="2" fontId="8" fillId="18" borderId="16" xfId="0" applyNumberFormat="1" applyFont="1" applyFill="1" applyBorder="1" applyAlignment="1">
      <alignment horizontal="center" vertical="center"/>
    </xf>
    <xf numFmtId="1" fontId="8" fillId="18" borderId="16" xfId="0" applyNumberFormat="1" applyFont="1" applyFill="1" applyBorder="1" applyAlignment="1">
      <alignment horizontal="center" vertical="center"/>
    </xf>
    <xf numFmtId="2" fontId="8" fillId="19" borderId="16" xfId="0" applyNumberFormat="1" applyFont="1" applyFill="1" applyBorder="1" applyAlignment="1">
      <alignment horizontal="center" vertical="center"/>
    </xf>
    <xf numFmtId="1" fontId="8" fillId="19" borderId="16" xfId="0" applyNumberFormat="1" applyFont="1" applyFill="1" applyBorder="1" applyAlignment="1">
      <alignment horizontal="center" vertical="center"/>
    </xf>
    <xf numFmtId="2" fontId="8" fillId="20" borderId="16" xfId="0" applyNumberFormat="1" applyFont="1" applyFill="1" applyBorder="1" applyAlignment="1">
      <alignment horizontal="center" vertical="center"/>
    </xf>
    <xf numFmtId="1" fontId="8" fillId="20" borderId="16" xfId="0" applyNumberFormat="1" applyFont="1" applyFill="1" applyBorder="1" applyAlignment="1">
      <alignment horizontal="center" vertical="center"/>
    </xf>
    <xf numFmtId="2" fontId="8" fillId="14" borderId="16" xfId="0" applyNumberFormat="1" applyFont="1" applyFill="1" applyBorder="1" applyAlignment="1">
      <alignment horizontal="center" vertical="center"/>
    </xf>
    <xf numFmtId="1" fontId="8" fillId="14" borderId="16" xfId="0" applyNumberFormat="1" applyFont="1" applyFill="1" applyBorder="1" applyAlignment="1">
      <alignment horizontal="center" vertical="center"/>
    </xf>
    <xf numFmtId="2" fontId="8" fillId="21" borderId="16" xfId="0" applyNumberFormat="1" applyFont="1" applyFill="1" applyBorder="1" applyAlignment="1">
      <alignment horizontal="center" vertical="center"/>
    </xf>
    <xf numFmtId="1" fontId="8" fillId="21" borderId="16" xfId="0" applyNumberFormat="1" applyFont="1" applyFill="1" applyBorder="1" applyAlignment="1">
      <alignment horizontal="center" vertical="center"/>
    </xf>
    <xf numFmtId="2" fontId="8" fillId="22" borderId="16" xfId="0" applyNumberFormat="1" applyFont="1" applyFill="1" applyBorder="1" applyAlignment="1">
      <alignment horizontal="center" vertical="center"/>
    </xf>
    <xf numFmtId="1" fontId="8" fillId="22" borderId="16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1" fontId="8" fillId="3" borderId="16" xfId="0" applyNumberFormat="1" applyFont="1" applyFill="1" applyBorder="1" applyAlignment="1">
      <alignment horizontal="center" vertical="center"/>
    </xf>
    <xf numFmtId="10" fontId="8" fillId="17" borderId="16" xfId="0" applyNumberFormat="1" applyFont="1" applyFill="1" applyBorder="1" applyAlignment="1">
      <alignment horizontal="center" vertical="center"/>
    </xf>
    <xf numFmtId="2" fontId="26" fillId="3" borderId="16" xfId="0" applyNumberFormat="1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 wrapText="1"/>
    </xf>
    <xf numFmtId="2" fontId="8" fillId="6" borderId="0" xfId="0" applyNumberFormat="1" applyFont="1" applyFill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 wrapText="1"/>
    </xf>
    <xf numFmtId="2" fontId="8" fillId="6" borderId="16" xfId="0" applyNumberFormat="1" applyFont="1" applyFill="1" applyBorder="1" applyAlignment="1">
      <alignment horizontal="center" vertical="center"/>
    </xf>
    <xf numFmtId="49" fontId="8" fillId="6" borderId="16" xfId="0" applyNumberFormat="1" applyFont="1" applyFill="1" applyBorder="1" applyAlignment="1">
      <alignment horizontal="center" vertical="center"/>
    </xf>
    <xf numFmtId="10" fontId="8" fillId="6" borderId="25" xfId="0" applyNumberFormat="1" applyFont="1" applyFill="1" applyBorder="1" applyAlignment="1">
      <alignment horizontal="center" vertical="center"/>
    </xf>
    <xf numFmtId="10" fontId="8" fillId="6" borderId="31" xfId="0" applyNumberFormat="1" applyFont="1" applyFill="1" applyBorder="1" applyAlignment="1">
      <alignment horizontal="center" vertical="center"/>
    </xf>
    <xf numFmtId="0" fontId="29" fillId="0" borderId="45" xfId="0" applyFont="1" applyBorder="1" applyAlignment="1">
      <alignment vertical="center" wrapText="1"/>
    </xf>
    <xf numFmtId="0" fontId="29" fillId="0" borderId="47" xfId="0" applyFont="1" applyBorder="1" applyAlignment="1">
      <alignment vertical="center" wrapText="1"/>
    </xf>
    <xf numFmtId="0" fontId="29" fillId="0" borderId="48" xfId="0" applyFont="1" applyBorder="1" applyAlignment="1">
      <alignment horizontal="center" vertical="center" wrapText="1"/>
    </xf>
    <xf numFmtId="0" fontId="29" fillId="0" borderId="49" xfId="0" applyFont="1" applyBorder="1" applyAlignment="1">
      <alignment vertical="center" wrapText="1"/>
    </xf>
    <xf numFmtId="0" fontId="29" fillId="0" borderId="51" xfId="0" applyFont="1" applyBorder="1" applyAlignment="1">
      <alignment vertical="center" wrapText="1"/>
    </xf>
    <xf numFmtId="0" fontId="29" fillId="0" borderId="51" xfId="0" applyFont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27" fillId="24" borderId="56" xfId="0" applyFont="1" applyFill="1" applyBorder="1" applyAlignment="1">
      <alignment horizontal="center" vertical="center" wrapText="1"/>
    </xf>
    <xf numFmtId="0" fontId="27" fillId="24" borderId="57" xfId="0" applyFont="1" applyFill="1" applyBorder="1" applyAlignment="1">
      <alignment horizontal="center" vertical="center" wrapText="1"/>
    </xf>
    <xf numFmtId="0" fontId="25" fillId="0" borderId="56" xfId="0" applyFont="1" applyBorder="1" applyAlignment="1">
      <alignment vertical="center" wrapText="1"/>
    </xf>
    <xf numFmtId="4" fontId="29" fillId="0" borderId="57" xfId="0" applyNumberFormat="1" applyFont="1" applyBorder="1" applyAlignment="1">
      <alignment horizontal="center" vertical="center" wrapText="1"/>
    </xf>
    <xf numFmtId="0" fontId="25" fillId="0" borderId="60" xfId="0" applyFont="1" applyBorder="1" applyAlignment="1">
      <alignment vertical="center" wrapText="1"/>
    </xf>
    <xf numFmtId="4" fontId="29" fillId="0" borderId="6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6" borderId="65" xfId="0" applyFont="1" applyFill="1" applyBorder="1" applyAlignment="1">
      <alignment vertical="center"/>
    </xf>
    <xf numFmtId="0" fontId="2" fillId="26" borderId="66" xfId="0" applyFont="1" applyFill="1" applyBorder="1" applyAlignment="1">
      <alignment horizontal="center" vertical="center" wrapText="1"/>
    </xf>
    <xf numFmtId="0" fontId="2" fillId="26" borderId="67" xfId="0" applyFont="1" applyFill="1" applyBorder="1" applyAlignment="1">
      <alignment horizontal="center" vertical="center" wrapText="1"/>
    </xf>
    <xf numFmtId="0" fontId="2" fillId="0" borderId="68" xfId="0" applyFont="1" applyBorder="1" applyAlignment="1">
      <alignment vertical="center"/>
    </xf>
    <xf numFmtId="10" fontId="1" fillId="0" borderId="69" xfId="0" applyNumberFormat="1" applyFont="1" applyBorder="1" applyAlignment="1">
      <alignment horizontal="center" vertical="center"/>
    </xf>
    <xf numFmtId="10" fontId="1" fillId="0" borderId="70" xfId="0" applyNumberFormat="1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1" fillId="0" borderId="75" xfId="0" applyFont="1" applyBorder="1" applyAlignment="1">
      <alignment vertical="center"/>
    </xf>
    <xf numFmtId="10" fontId="19" fillId="28" borderId="65" xfId="0" applyNumberFormat="1" applyFont="1" applyFill="1" applyBorder="1" applyAlignment="1">
      <alignment vertical="center"/>
    </xf>
    <xf numFmtId="0" fontId="19" fillId="28" borderId="76" xfId="0" applyFont="1" applyFill="1" applyBorder="1" applyAlignment="1">
      <alignment horizontal="center" vertical="center"/>
    </xf>
    <xf numFmtId="0" fontId="19" fillId="28" borderId="77" xfId="0" applyFont="1" applyFill="1" applyBorder="1" applyAlignment="1">
      <alignment horizontal="center" vertical="center"/>
    </xf>
    <xf numFmtId="0" fontId="2" fillId="28" borderId="65" xfId="0" applyFont="1" applyFill="1" applyBorder="1" applyAlignment="1">
      <alignment vertical="center"/>
    </xf>
    <xf numFmtId="49" fontId="2" fillId="28" borderId="66" xfId="0" applyNumberFormat="1" applyFont="1" applyFill="1" applyBorder="1" applyAlignment="1">
      <alignment vertical="center"/>
    </xf>
    <xf numFmtId="49" fontId="2" fillId="28" borderId="67" xfId="0" applyNumberFormat="1" applyFont="1" applyFill="1" applyBorder="1" applyAlignment="1">
      <alignment vertical="center"/>
    </xf>
    <xf numFmtId="0" fontId="2" fillId="0" borderId="78" xfId="0" applyFont="1" applyBorder="1" applyAlignment="1">
      <alignment vertical="center"/>
    </xf>
    <xf numFmtId="0" fontId="2" fillId="28" borderId="66" xfId="0" applyFont="1" applyFill="1" applyBorder="1" applyAlignment="1">
      <alignment vertical="center"/>
    </xf>
    <xf numFmtId="0" fontId="2" fillId="28" borderId="67" xfId="0" applyFont="1" applyFill="1" applyBorder="1" applyAlignment="1">
      <alignment vertical="center"/>
    </xf>
    <xf numFmtId="49" fontId="2" fillId="0" borderId="68" xfId="0" applyNumberFormat="1" applyFont="1" applyBorder="1" applyAlignment="1">
      <alignment vertical="center"/>
    </xf>
    <xf numFmtId="0" fontId="33" fillId="0" borderId="0" xfId="0" applyFont="1" applyAlignment="1">
      <alignment vertical="center" wrapText="1"/>
    </xf>
    <xf numFmtId="164" fontId="33" fillId="12" borderId="0" xfId="0" applyNumberFormat="1" applyFont="1" applyFill="1" applyAlignment="1">
      <alignment horizontal="right" vertical="center" wrapText="1"/>
    </xf>
    <xf numFmtId="164" fontId="33" fillId="12" borderId="0" xfId="0" applyNumberFormat="1" applyFont="1" applyFill="1" applyAlignment="1">
      <alignment horizontal="left" vertical="center" wrapText="1"/>
    </xf>
    <xf numFmtId="1" fontId="29" fillId="0" borderId="0" xfId="0" applyNumberFormat="1" applyFont="1" applyAlignment="1">
      <alignment vertical="center"/>
    </xf>
    <xf numFmtId="0" fontId="26" fillId="0" borderId="79" xfId="0" applyFont="1" applyBorder="1" applyAlignment="1">
      <alignment horizontal="center" vertical="center"/>
    </xf>
    <xf numFmtId="0" fontId="36" fillId="0" borderId="80" xfId="0" applyFont="1" applyBorder="1" applyAlignment="1">
      <alignment vertical="center"/>
    </xf>
    <xf numFmtId="0" fontId="37" fillId="0" borderId="83" xfId="0" applyFont="1" applyBorder="1" applyAlignment="1">
      <alignment horizontal="center" vertical="center" wrapText="1"/>
    </xf>
    <xf numFmtId="10" fontId="29" fillId="0" borderId="83" xfId="0" applyNumberFormat="1" applyFont="1" applyBorder="1" applyAlignment="1">
      <alignment horizontal="center" vertical="center"/>
    </xf>
    <xf numFmtId="0" fontId="37" fillId="30" borderId="83" xfId="0" applyFont="1" applyFill="1" applyBorder="1" applyAlignment="1">
      <alignment horizontal="center" vertical="center" wrapText="1"/>
    </xf>
    <xf numFmtId="1" fontId="37" fillId="30" borderId="83" xfId="0" applyNumberFormat="1" applyFont="1" applyFill="1" applyBorder="1" applyAlignment="1">
      <alignment horizontal="center" vertical="center" wrapText="1"/>
    </xf>
    <xf numFmtId="49" fontId="25" fillId="23" borderId="83" xfId="0" applyNumberFormat="1" applyFont="1" applyFill="1" applyBorder="1" applyAlignment="1">
      <alignment horizontal="center" vertical="center" wrapText="1"/>
    </xf>
    <xf numFmtId="0" fontId="29" fillId="0" borderId="83" xfId="0" applyFont="1" applyBorder="1" applyAlignment="1">
      <alignment horizontal="center" vertical="center" wrapText="1"/>
    </xf>
    <xf numFmtId="10" fontId="29" fillId="0" borderId="83" xfId="0" applyNumberFormat="1" applyFont="1" applyBorder="1" applyAlignment="1">
      <alignment horizontal="center" vertical="center" wrapText="1"/>
    </xf>
    <xf numFmtId="2" fontId="29" fillId="0" borderId="83" xfId="0" applyNumberFormat="1" applyFont="1" applyBorder="1" applyAlignment="1">
      <alignment horizontal="center" vertical="center" wrapText="1"/>
    </xf>
    <xf numFmtId="0" fontId="29" fillId="0" borderId="83" xfId="0" applyFont="1" applyBorder="1" applyAlignment="1">
      <alignment vertical="center"/>
    </xf>
    <xf numFmtId="49" fontId="29" fillId="23" borderId="83" xfId="0" applyNumberFormat="1" applyFont="1" applyFill="1" applyBorder="1" applyAlignment="1">
      <alignment vertical="center"/>
    </xf>
    <xf numFmtId="0" fontId="38" fillId="29" borderId="83" xfId="0" applyFont="1" applyFill="1" applyBorder="1" applyAlignment="1">
      <alignment horizontal="center" vertical="center" wrapText="1"/>
    </xf>
    <xf numFmtId="49" fontId="38" fillId="29" borderId="83" xfId="0" applyNumberFormat="1" applyFont="1" applyFill="1" applyBorder="1" applyAlignment="1">
      <alignment horizontal="center" vertical="center" wrapText="1"/>
    </xf>
    <xf numFmtId="10" fontId="38" fillId="29" borderId="83" xfId="0" applyNumberFormat="1" applyFont="1" applyFill="1" applyBorder="1" applyAlignment="1">
      <alignment horizontal="center" vertical="center" wrapText="1"/>
    </xf>
    <xf numFmtId="0" fontId="29" fillId="0" borderId="58" xfId="0" applyFont="1" applyBorder="1" applyAlignment="1">
      <alignment vertical="center"/>
    </xf>
    <xf numFmtId="1" fontId="29" fillId="0" borderId="58" xfId="0" applyNumberFormat="1" applyFont="1" applyBorder="1" applyAlignment="1">
      <alignment vertical="center"/>
    </xf>
    <xf numFmtId="0" fontId="29" fillId="0" borderId="84" xfId="0" applyFont="1" applyBorder="1" applyAlignment="1">
      <alignment vertical="center"/>
    </xf>
    <xf numFmtId="1" fontId="29" fillId="32" borderId="83" xfId="0" applyNumberFormat="1" applyFont="1" applyFill="1" applyBorder="1" applyAlignment="1">
      <alignment horizontal="center" vertical="center" wrapText="1"/>
    </xf>
    <xf numFmtId="0" fontId="29" fillId="32" borderId="83" xfId="0" applyFont="1" applyFill="1" applyBorder="1" applyAlignment="1">
      <alignment horizontal="center" vertical="center" wrapText="1"/>
    </xf>
    <xf numFmtId="0" fontId="29" fillId="0" borderId="83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29" fillId="0" borderId="85" xfId="0" applyFont="1" applyBorder="1" applyAlignment="1">
      <alignment vertical="center"/>
    </xf>
    <xf numFmtId="1" fontId="29" fillId="0" borderId="85" xfId="0" applyNumberFormat="1" applyFont="1" applyBorder="1" applyAlignment="1">
      <alignment vertical="center"/>
    </xf>
    <xf numFmtId="0" fontId="29" fillId="0" borderId="86" xfId="0" applyFont="1" applyBorder="1" applyAlignment="1">
      <alignment vertical="center"/>
    </xf>
    <xf numFmtId="1" fontId="29" fillId="34" borderId="84" xfId="0" applyNumberFormat="1" applyFont="1" applyFill="1" applyBorder="1" applyAlignment="1">
      <alignment horizontal="center" vertical="center" wrapText="1"/>
    </xf>
    <xf numFmtId="0" fontId="29" fillId="34" borderId="84" xfId="0" applyFont="1" applyFill="1" applyBorder="1" applyAlignment="1">
      <alignment horizontal="center" vertical="center" wrapText="1"/>
    </xf>
    <xf numFmtId="10" fontId="29" fillId="0" borderId="83" xfId="0" applyNumberFormat="1" applyFont="1" applyBorder="1" applyAlignment="1">
      <alignment horizontal="left" vertical="center" wrapText="1"/>
    </xf>
    <xf numFmtId="1" fontId="25" fillId="36" borderId="84" xfId="0" applyNumberFormat="1" applyFont="1" applyFill="1" applyBorder="1" applyAlignment="1">
      <alignment horizontal="center" vertical="center" wrapText="1"/>
    </xf>
    <xf numFmtId="165" fontId="25" fillId="36" borderId="57" xfId="0" applyNumberFormat="1" applyFont="1" applyFill="1" applyBorder="1" applyAlignment="1">
      <alignment horizontal="center" vertical="center" wrapText="1"/>
    </xf>
    <xf numFmtId="0" fontId="25" fillId="36" borderId="57" xfId="0" applyFont="1" applyFill="1" applyBorder="1" applyAlignment="1">
      <alignment horizontal="center" vertical="center" wrapText="1"/>
    </xf>
    <xf numFmtId="49" fontId="29" fillId="0" borderId="57" xfId="0" applyNumberFormat="1" applyFont="1" applyBorder="1" applyAlignment="1">
      <alignment horizontal="left" vertical="center" wrapText="1"/>
    </xf>
    <xf numFmtId="10" fontId="29" fillId="0" borderId="57" xfId="0" applyNumberFormat="1" applyFont="1" applyBorder="1" applyAlignment="1">
      <alignment horizontal="center" vertical="center" wrapText="1"/>
    </xf>
    <xf numFmtId="0" fontId="29" fillId="0" borderId="57" xfId="0" applyFont="1" applyBorder="1" applyAlignment="1">
      <alignment vertical="center"/>
    </xf>
    <xf numFmtId="49" fontId="29" fillId="0" borderId="0" xfId="0" applyNumberFormat="1" applyFont="1" applyAlignment="1">
      <alignment vertical="center"/>
    </xf>
    <xf numFmtId="10" fontId="29" fillId="0" borderId="0" xfId="0" applyNumberFormat="1" applyFont="1" applyAlignment="1">
      <alignment vertical="center"/>
    </xf>
    <xf numFmtId="0" fontId="29" fillId="21" borderId="0" xfId="0" applyFont="1" applyFill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0" fillId="0" borderId="0" xfId="0"/>
    <xf numFmtId="0" fontId="4" fillId="3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1" fillId="0" borderId="10" xfId="0" applyFont="1" applyBorder="1"/>
    <xf numFmtId="0" fontId="12" fillId="0" borderId="10" xfId="0" applyFont="1" applyBorder="1"/>
    <xf numFmtId="0" fontId="2" fillId="8" borderId="11" xfId="0" applyFont="1" applyFill="1" applyBorder="1" applyAlignment="1">
      <alignment horizontal="center" vertical="center"/>
    </xf>
    <xf numFmtId="0" fontId="12" fillId="0" borderId="12" xfId="0" applyFont="1" applyBorder="1"/>
    <xf numFmtId="0" fontId="12" fillId="0" borderId="13" xfId="0" applyFont="1" applyBorder="1"/>
    <xf numFmtId="0" fontId="2" fillId="9" borderId="11" xfId="0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/>
    </xf>
    <xf numFmtId="0" fontId="8" fillId="6" borderId="40" xfId="0" applyFont="1" applyFill="1" applyBorder="1" applyAlignment="1">
      <alignment horizontal="center" vertical="center"/>
    </xf>
    <xf numFmtId="0" fontId="12" fillId="0" borderId="41" xfId="0" applyFont="1" applyBorder="1"/>
    <xf numFmtId="0" fontId="12" fillId="0" borderId="17" xfId="0" applyFont="1" applyBorder="1"/>
    <xf numFmtId="2" fontId="8" fillId="17" borderId="40" xfId="0" applyNumberFormat="1" applyFont="1" applyFill="1" applyBorder="1" applyAlignment="1">
      <alignment horizontal="center" vertical="center"/>
    </xf>
    <xf numFmtId="2" fontId="8" fillId="21" borderId="40" xfId="0" applyNumberFormat="1" applyFont="1" applyFill="1" applyBorder="1" applyAlignment="1">
      <alignment horizontal="center" vertical="center"/>
    </xf>
    <xf numFmtId="2" fontId="17" fillId="14" borderId="26" xfId="0" applyNumberFormat="1" applyFont="1" applyFill="1" applyBorder="1" applyAlignment="1">
      <alignment horizontal="center" vertical="center"/>
    </xf>
    <xf numFmtId="0" fontId="12" fillId="0" borderId="26" xfId="0" applyFont="1" applyBorder="1"/>
    <xf numFmtId="0" fontId="12" fillId="0" borderId="27" xfId="0" applyFont="1" applyBorder="1"/>
    <xf numFmtId="0" fontId="8" fillId="23" borderId="40" xfId="0" applyFont="1" applyFill="1" applyBorder="1" applyAlignment="1">
      <alignment horizontal="center" vertical="center"/>
    </xf>
    <xf numFmtId="0" fontId="8" fillId="14" borderId="40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/>
    </xf>
    <xf numFmtId="2" fontId="8" fillId="22" borderId="40" xfId="0" applyNumberFormat="1" applyFont="1" applyFill="1" applyBorder="1" applyAlignment="1">
      <alignment horizontal="center" vertical="center"/>
    </xf>
    <xf numFmtId="0" fontId="8" fillId="19" borderId="40" xfId="0" applyFont="1" applyFill="1" applyBorder="1" applyAlignment="1">
      <alignment horizontal="center" vertical="center"/>
    </xf>
    <xf numFmtId="2" fontId="9" fillId="14" borderId="24" xfId="0" applyNumberFormat="1" applyFont="1" applyFill="1" applyBorder="1" applyAlignment="1">
      <alignment horizontal="center" vertical="center"/>
    </xf>
    <xf numFmtId="0" fontId="12" fillId="0" borderId="24" xfId="0" applyFont="1" applyBorder="1"/>
    <xf numFmtId="0" fontId="12" fillId="0" borderId="34" xfId="0" applyFont="1" applyBorder="1"/>
    <xf numFmtId="0" fontId="17" fillId="14" borderId="11" xfId="0" applyFont="1" applyFill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  <xf numFmtId="2" fontId="17" fillId="14" borderId="11" xfId="0" applyNumberFormat="1" applyFont="1" applyFill="1" applyBorder="1" applyAlignment="1">
      <alignment horizontal="center" vertical="center"/>
    </xf>
    <xf numFmtId="0" fontId="8" fillId="17" borderId="40" xfId="0" applyFont="1" applyFill="1" applyBorder="1" applyAlignment="1">
      <alignment horizontal="center" vertical="center"/>
    </xf>
    <xf numFmtId="0" fontId="8" fillId="5" borderId="40" xfId="0" applyFont="1" applyFill="1" applyBorder="1" applyAlignment="1">
      <alignment horizontal="center" vertical="center"/>
    </xf>
    <xf numFmtId="2" fontId="8" fillId="18" borderId="40" xfId="0" applyNumberFormat="1" applyFont="1" applyFill="1" applyBorder="1" applyAlignment="1">
      <alignment horizontal="center" vertical="center"/>
    </xf>
    <xf numFmtId="2" fontId="8" fillId="20" borderId="40" xfId="0" applyNumberFormat="1" applyFont="1" applyFill="1" applyBorder="1" applyAlignment="1">
      <alignment horizontal="center" vertical="center"/>
    </xf>
    <xf numFmtId="0" fontId="8" fillId="21" borderId="40" xfId="0" applyFont="1" applyFill="1" applyBorder="1" applyAlignment="1">
      <alignment horizontal="center" vertical="center"/>
    </xf>
    <xf numFmtId="0" fontId="8" fillId="22" borderId="40" xfId="0" applyFont="1" applyFill="1" applyBorder="1" applyAlignment="1">
      <alignment horizontal="center" vertical="center"/>
    </xf>
    <xf numFmtId="2" fontId="8" fillId="14" borderId="40" xfId="0" applyNumberFormat="1" applyFont="1" applyFill="1" applyBorder="1" applyAlignment="1">
      <alignment horizontal="center" vertical="center"/>
    </xf>
    <xf numFmtId="2" fontId="8" fillId="3" borderId="40" xfId="0" applyNumberFormat="1" applyFont="1" applyFill="1" applyBorder="1" applyAlignment="1">
      <alignment horizontal="center" vertical="center"/>
    </xf>
    <xf numFmtId="0" fontId="8" fillId="18" borderId="40" xfId="0" applyFont="1" applyFill="1" applyBorder="1" applyAlignment="1">
      <alignment horizontal="center" vertical="center"/>
    </xf>
    <xf numFmtId="2" fontId="8" fillId="5" borderId="40" xfId="0" applyNumberFormat="1" applyFont="1" applyFill="1" applyBorder="1" applyAlignment="1">
      <alignment horizontal="center" vertical="center"/>
    </xf>
    <xf numFmtId="0" fontId="8" fillId="20" borderId="40" xfId="0" applyFont="1" applyFill="1" applyBorder="1" applyAlignment="1">
      <alignment horizontal="center" vertical="center"/>
    </xf>
    <xf numFmtId="2" fontId="8" fillId="19" borderId="40" xfId="0" applyNumberFormat="1" applyFont="1" applyFill="1" applyBorder="1" applyAlignment="1">
      <alignment horizontal="center" vertical="center"/>
    </xf>
    <xf numFmtId="2" fontId="25" fillId="0" borderId="11" xfId="0" applyNumberFormat="1" applyFont="1" applyBorder="1" applyAlignment="1">
      <alignment horizontal="left" vertical="center" wrapText="1"/>
    </xf>
    <xf numFmtId="0" fontId="8" fillId="6" borderId="40" xfId="0" applyFont="1" applyFill="1" applyBorder="1" applyAlignment="1">
      <alignment horizontal="center" vertical="center" textRotation="90"/>
    </xf>
    <xf numFmtId="0" fontId="9" fillId="7" borderId="20" xfId="0" applyFont="1" applyFill="1" applyBorder="1" applyAlignment="1">
      <alignment horizontal="center" vertical="center"/>
    </xf>
    <xf numFmtId="2" fontId="25" fillId="0" borderId="11" xfId="0" applyNumberFormat="1" applyFont="1" applyBorder="1" applyAlignment="1">
      <alignment horizontal="left" wrapText="1"/>
    </xf>
    <xf numFmtId="0" fontId="9" fillId="7" borderId="19" xfId="0" applyFont="1" applyFill="1" applyBorder="1" applyAlignment="1">
      <alignment horizontal="center" vertical="center"/>
    </xf>
    <xf numFmtId="0" fontId="12" fillId="0" borderId="32" xfId="0" applyFont="1" applyBorder="1"/>
    <xf numFmtId="0" fontId="9" fillId="7" borderId="21" xfId="0" applyFont="1" applyFill="1" applyBorder="1" applyAlignment="1">
      <alignment horizontal="center" vertical="center"/>
    </xf>
    <xf numFmtId="0" fontId="12" fillId="0" borderId="28" xfId="0" applyFont="1" applyBorder="1"/>
    <xf numFmtId="0" fontId="12" fillId="0" borderId="33" xfId="0" applyFont="1" applyBorder="1"/>
    <xf numFmtId="0" fontId="18" fillId="7" borderId="20" xfId="0" applyFont="1" applyFill="1" applyBorder="1" applyAlignment="1">
      <alignment horizontal="center" vertical="center" wrapText="1"/>
    </xf>
    <xf numFmtId="0" fontId="18" fillId="7" borderId="22" xfId="0" applyFont="1" applyFill="1" applyBorder="1" applyAlignment="1">
      <alignment horizontal="center" vertical="center" wrapText="1"/>
    </xf>
    <xf numFmtId="0" fontId="12" fillId="0" borderId="29" xfId="0" applyFont="1" applyBorder="1"/>
    <xf numFmtId="0" fontId="12" fillId="0" borderId="25" xfId="0" applyFont="1" applyBorder="1"/>
    <xf numFmtId="0" fontId="9" fillId="15" borderId="29" xfId="0" applyFont="1" applyFill="1" applyBorder="1" applyAlignment="1">
      <alignment horizontal="center" vertical="center"/>
    </xf>
    <xf numFmtId="0" fontId="12" fillId="0" borderId="39" xfId="0" applyFont="1" applyBorder="1"/>
    <xf numFmtId="0" fontId="19" fillId="7" borderId="20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33" fillId="12" borderId="0" xfId="0" applyFont="1" applyFill="1" applyAlignment="1">
      <alignment vertical="center" wrapText="1"/>
    </xf>
    <xf numFmtId="0" fontId="32" fillId="0" borderId="0" xfId="0" applyFont="1"/>
    <xf numFmtId="0" fontId="27" fillId="0" borderId="0" xfId="0" applyFont="1" applyAlignment="1">
      <alignment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0" fontId="12" fillId="0" borderId="58" xfId="0" applyFont="1" applyBorder="1"/>
    <xf numFmtId="0" fontId="12" fillId="0" borderId="59" xfId="0" applyFont="1" applyBorder="1"/>
    <xf numFmtId="0" fontId="31" fillId="25" borderId="62" xfId="0" applyFont="1" applyFill="1" applyBorder="1" applyAlignment="1">
      <alignment horizontal="center" vertical="center"/>
    </xf>
    <xf numFmtId="0" fontId="12" fillId="0" borderId="63" xfId="0" applyFont="1" applyBorder="1"/>
    <xf numFmtId="0" fontId="12" fillId="0" borderId="64" xfId="0" applyFont="1" applyBorder="1"/>
    <xf numFmtId="0" fontId="31" fillId="27" borderId="62" xfId="0" applyFont="1" applyFill="1" applyBorder="1" applyAlignment="1">
      <alignment horizontal="center" vertical="center"/>
    </xf>
    <xf numFmtId="4" fontId="29" fillId="0" borderId="50" xfId="0" applyNumberFormat="1" applyFont="1" applyBorder="1" applyAlignment="1">
      <alignment horizontal="center" vertical="center" wrapText="1"/>
    </xf>
    <xf numFmtId="0" fontId="12" fillId="0" borderId="50" xfId="0" applyFont="1" applyBorder="1"/>
    <xf numFmtId="0" fontId="12" fillId="0" borderId="52" xfId="0" applyFont="1" applyBorder="1"/>
    <xf numFmtId="0" fontId="29" fillId="0" borderId="46" xfId="0" applyFont="1" applyBorder="1" applyAlignment="1">
      <alignment vertical="center" wrapText="1"/>
    </xf>
    <xf numFmtId="0" fontId="12" fillId="0" borderId="47" xfId="0" applyFont="1" applyBorder="1"/>
    <xf numFmtId="0" fontId="29" fillId="0" borderId="50" xfId="0" applyFont="1" applyBorder="1" applyAlignment="1">
      <alignment vertical="center" wrapText="1"/>
    </xf>
    <xf numFmtId="0" fontId="12" fillId="0" borderId="51" xfId="0" applyFont="1" applyBorder="1"/>
    <xf numFmtId="0" fontId="30" fillId="13" borderId="53" xfId="0" applyFont="1" applyFill="1" applyBorder="1" applyAlignment="1">
      <alignment horizontal="center" vertical="center" wrapText="1"/>
    </xf>
    <xf numFmtId="0" fontId="12" fillId="0" borderId="54" xfId="0" applyFont="1" applyBorder="1"/>
    <xf numFmtId="0" fontId="12" fillId="0" borderId="55" xfId="0" applyFont="1" applyBorder="1"/>
    <xf numFmtId="0" fontId="27" fillId="24" borderId="58" xfId="0" applyFont="1" applyFill="1" applyBorder="1" applyAlignment="1">
      <alignment horizontal="center" vertical="center" wrapText="1"/>
    </xf>
    <xf numFmtId="14" fontId="29" fillId="0" borderId="46" xfId="0" applyNumberFormat="1" applyFont="1" applyBorder="1" applyAlignment="1">
      <alignment horizontal="center" vertical="center" wrapText="1"/>
    </xf>
    <xf numFmtId="0" fontId="29" fillId="0" borderId="5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14" fontId="28" fillId="0" borderId="0" xfId="0" applyNumberFormat="1" applyFont="1" applyAlignment="1">
      <alignment horizontal="center" vertical="center"/>
    </xf>
    <xf numFmtId="0" fontId="27" fillId="0" borderId="42" xfId="0" applyFont="1" applyBorder="1" applyAlignment="1">
      <alignment horizontal="center" vertical="center" wrapText="1"/>
    </xf>
    <xf numFmtId="0" fontId="12" fillId="0" borderId="43" xfId="0" applyFont="1" applyBorder="1"/>
    <xf numFmtId="0" fontId="12" fillId="0" borderId="44" xfId="0" applyFont="1" applyBorder="1"/>
    <xf numFmtId="0" fontId="29" fillId="0" borderId="46" xfId="0" applyFont="1" applyBorder="1" applyAlignment="1">
      <alignment horizontal="center" vertical="center" wrapText="1"/>
    </xf>
    <xf numFmtId="0" fontId="12" fillId="0" borderId="46" xfId="0" applyFont="1" applyBorder="1"/>
    <xf numFmtId="0" fontId="12" fillId="0" borderId="48" xfId="0" applyFont="1" applyBorder="1"/>
    <xf numFmtId="49" fontId="33" fillId="0" borderId="0" xfId="0" applyNumberFormat="1" applyFont="1" applyAlignment="1">
      <alignment vertical="center" wrapText="1"/>
    </xf>
    <xf numFmtId="0" fontId="1" fillId="21" borderId="0" xfId="0" applyFont="1" applyFill="1" applyAlignment="1">
      <alignment vertical="center"/>
    </xf>
    <xf numFmtId="0" fontId="29" fillId="0" borderId="81" xfId="0" applyFont="1" applyBorder="1" applyAlignment="1">
      <alignment vertical="center" wrapText="1"/>
    </xf>
    <xf numFmtId="0" fontId="12" fillId="0" borderId="82" xfId="0" applyFont="1" applyBorder="1"/>
    <xf numFmtId="0" fontId="30" fillId="35" borderId="58" xfId="0" applyFont="1" applyFill="1" applyBorder="1" applyAlignment="1">
      <alignment horizontal="center" vertical="center" wrapText="1"/>
    </xf>
    <xf numFmtId="1" fontId="25" fillId="36" borderId="0" xfId="0" applyNumberFormat="1" applyFont="1" applyFill="1" applyAlignment="1">
      <alignment vertical="center" wrapText="1"/>
    </xf>
    <xf numFmtId="0" fontId="1" fillId="0" borderId="81" xfId="0" applyFont="1" applyBorder="1" applyAlignment="1">
      <alignment horizontal="left" vertical="center"/>
    </xf>
    <xf numFmtId="0" fontId="1" fillId="0" borderId="81" xfId="0" applyFont="1" applyBorder="1" applyAlignment="1">
      <alignment vertical="center"/>
    </xf>
    <xf numFmtId="0" fontId="30" fillId="33" borderId="85" xfId="0" applyFont="1" applyFill="1" applyBorder="1" applyAlignment="1">
      <alignment horizontal="center" vertical="center" wrapText="1"/>
    </xf>
    <xf numFmtId="0" fontId="12" fillId="0" borderId="85" xfId="0" applyFont="1" applyBorder="1"/>
    <xf numFmtId="0" fontId="12" fillId="0" borderId="87" xfId="0" applyFont="1" applyBorder="1"/>
    <xf numFmtId="1" fontId="29" fillId="34" borderId="0" xfId="0" applyNumberFormat="1" applyFont="1" applyFill="1" applyAlignment="1">
      <alignment horizontal="center" vertical="center" wrapText="1"/>
    </xf>
    <xf numFmtId="0" fontId="12" fillId="0" borderId="84" xfId="0" applyFont="1" applyBorder="1"/>
    <xf numFmtId="0" fontId="29" fillId="0" borderId="81" xfId="0" applyFont="1" applyBorder="1" applyAlignment="1">
      <alignment horizontal="left" vertical="center" wrapText="1"/>
    </xf>
    <xf numFmtId="0" fontId="30" fillId="31" borderId="0" xfId="0" applyFont="1" applyFill="1" applyAlignment="1">
      <alignment horizontal="center" vertical="center" wrapText="1"/>
    </xf>
    <xf numFmtId="0" fontId="29" fillId="32" borderId="81" xfId="0" applyFont="1" applyFill="1" applyBorder="1" applyAlignment="1">
      <alignment horizontal="center" vertical="center" wrapText="1"/>
    </xf>
    <xf numFmtId="10" fontId="29" fillId="0" borderId="81" xfId="0" applyNumberFormat="1" applyFont="1" applyBorder="1" applyAlignment="1">
      <alignment vertical="center" wrapText="1"/>
    </xf>
    <xf numFmtId="0" fontId="29" fillId="32" borderId="81" xfId="0" applyFont="1" applyFill="1" applyBorder="1" applyAlignment="1">
      <alignment horizontal="left" vertical="center" wrapText="1"/>
    </xf>
    <xf numFmtId="10" fontId="29" fillId="0" borderId="81" xfId="0" applyNumberFormat="1" applyFont="1" applyBorder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14" fontId="35" fillId="0" borderId="0" xfId="0" applyNumberFormat="1" applyFont="1" applyAlignment="1">
      <alignment horizontal="center" vertical="center" wrapText="1"/>
    </xf>
    <xf numFmtId="0" fontId="37" fillId="0" borderId="81" xfId="0" applyFont="1" applyBorder="1" applyAlignment="1">
      <alignment vertical="center" wrapText="1"/>
    </xf>
    <xf numFmtId="10" fontId="37" fillId="0" borderId="81" xfId="0" applyNumberFormat="1" applyFont="1" applyBorder="1" applyAlignment="1">
      <alignment vertical="center" wrapText="1"/>
    </xf>
    <xf numFmtId="0" fontId="38" fillId="29" borderId="0" xfId="0" applyFont="1" applyFill="1" applyAlignment="1">
      <alignment horizontal="center" vertical="center" wrapText="1"/>
    </xf>
  </cellXfs>
  <cellStyles count="1">
    <cellStyle name="Normal" xfId="0" builtinId="0"/>
  </cellStyles>
  <dxfs count="2">
    <dxf>
      <fill>
        <patternFill patternType="solid">
          <fgColor rgb="FFFFF0D5"/>
          <bgColor rgb="FFFFF0D5"/>
        </patternFill>
      </fill>
    </dxf>
    <dxf>
      <font>
        <b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104775</xdr:rowOff>
    </xdr:from>
    <xdr:ext cx="828675" cy="7143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123825</xdr:rowOff>
    </xdr:from>
    <xdr:ext cx="781050" cy="66675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85725</xdr:rowOff>
    </xdr:from>
    <xdr:ext cx="1057275" cy="904875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38100</xdr:rowOff>
    </xdr:from>
    <xdr:ext cx="923925" cy="790575"/>
    <xdr:pic>
      <xdr:nvPicPr>
        <xdr:cNvPr id="2" name="image4.png" title="Ima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%20Responses%20OSCE%20Station%20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%20Responses%20OSCE%20Station%2010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%20Responses%20OSCE%20Station%2011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%20Responses%20OSCE%20Station%201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%20Responses%20OSCE%20Station%20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%20Responses%20OSCE%20Station%203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%20Responses%20OSCE%20Station%204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%20Responses%20OSCE%20Station%205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%20Responses%20OSCE%20Station%206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%20Responses%20OSCE%20Station%207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%20Responses%20OSCE%20Station%208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%20Responses%20OSCE%20Station%209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 Responses OSCE Station 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 Responses OSCE Station 10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 Responses OSCE Station 11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 Responses OSCE Station 1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 Responses OSCE Station 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 Responses OSCE Station 3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 Responses OSCE Station 4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 Responses OSCE Station 5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 Responses OSCE Station 6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 Responses OSCE Station 7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 Responses OSCE Station 8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 Responses OSCE Station 9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80000"/>
    <outlinePr summaryBelow="0" summaryRight="0"/>
  </sheetPr>
  <dimension ref="A1:G31"/>
  <sheetViews>
    <sheetView showGridLines="0" workbookViewId="0">
      <selection activeCell="B21" sqref="B21:D21"/>
    </sheetView>
  </sheetViews>
  <sheetFormatPr defaultColWidth="12.6640625" defaultRowHeight="15.75" customHeight="1" x14ac:dyDescent="0.25"/>
  <cols>
    <col min="1" max="1" width="4.6640625" customWidth="1"/>
    <col min="3" max="3" width="9.33203125" customWidth="1"/>
    <col min="4" max="4" width="29.88671875" customWidth="1"/>
    <col min="5" max="5" width="13.44140625" customWidth="1"/>
    <col min="7" max="7" width="4.44140625" customWidth="1"/>
  </cols>
  <sheetData>
    <row r="1" spans="1:7" ht="13.2" x14ac:dyDescent="0.25">
      <c r="A1" s="1"/>
      <c r="B1" s="1"/>
      <c r="C1" s="1"/>
      <c r="D1" s="1"/>
      <c r="E1" s="1"/>
      <c r="F1" s="1"/>
      <c r="G1" s="1"/>
    </row>
    <row r="2" spans="1:7" ht="13.2" x14ac:dyDescent="0.25">
      <c r="A2" s="1"/>
      <c r="B2" s="1"/>
      <c r="C2" s="1"/>
      <c r="D2" s="1"/>
      <c r="E2" s="1"/>
      <c r="F2" s="1"/>
      <c r="G2" s="1"/>
    </row>
    <row r="3" spans="1:7" ht="36" customHeight="1" x14ac:dyDescent="0.25">
      <c r="A3" s="1"/>
      <c r="B3" s="1"/>
      <c r="C3" s="1"/>
      <c r="D3" s="1"/>
      <c r="E3" s="1"/>
      <c r="F3" s="1"/>
      <c r="G3" s="1"/>
    </row>
    <row r="4" spans="1:7" ht="13.2" x14ac:dyDescent="0.25">
      <c r="A4" s="1"/>
      <c r="B4" s="1"/>
      <c r="C4" s="1"/>
      <c r="D4" s="1"/>
      <c r="E4" s="1"/>
      <c r="F4" s="1"/>
      <c r="G4" s="1"/>
    </row>
    <row r="5" spans="1:7" ht="17.25" customHeight="1" x14ac:dyDescent="0.25">
      <c r="A5" s="1"/>
      <c r="B5" s="205" t="s">
        <v>0</v>
      </c>
      <c r="C5" s="206"/>
      <c r="D5" s="2"/>
      <c r="E5" s="207" t="b">
        <f ca="1">IFERROR(__xludf.DUMMYFUNCTION("IMPORTRANGE(D5,""Course Detail!A1"")"),TRUE)</f>
        <v>1</v>
      </c>
      <c r="F5" s="206"/>
      <c r="G5" s="1"/>
    </row>
    <row r="6" spans="1:7" ht="13.2" x14ac:dyDescent="0.25">
      <c r="A6" s="1"/>
      <c r="B6" s="1"/>
      <c r="C6" s="1"/>
      <c r="D6" s="1"/>
      <c r="E6" s="1"/>
      <c r="F6" s="1"/>
      <c r="G6" s="1"/>
    </row>
    <row r="7" spans="1:7" ht="21" customHeight="1" x14ac:dyDescent="0.25">
      <c r="A7" s="1"/>
      <c r="B7" s="208" t="s">
        <v>1</v>
      </c>
      <c r="C7" s="206"/>
      <c r="D7" s="209" t="str">
        <f ca="1">IFERROR(__xludf.DUMMYFUNCTION("IFERROR(IMPORTRANGE('System Setup'!AF4, ""Course Detail!D7""))"),"General Practise 2")</f>
        <v>General Practise 2</v>
      </c>
      <c r="E7" s="206"/>
      <c r="F7" s="206"/>
      <c r="G7" s="1"/>
    </row>
    <row r="8" spans="1:7" ht="13.2" x14ac:dyDescent="0.25">
      <c r="A8" s="1"/>
      <c r="B8" s="1"/>
      <c r="C8" s="1"/>
      <c r="D8" s="3"/>
      <c r="E8" s="3"/>
      <c r="F8" s="3"/>
      <c r="G8" s="1"/>
    </row>
    <row r="9" spans="1:7" ht="20.25" customHeight="1" x14ac:dyDescent="0.25">
      <c r="A9" s="1"/>
      <c r="B9" s="208" t="s">
        <v>2</v>
      </c>
      <c r="C9" s="206"/>
      <c r="D9" s="209"/>
      <c r="E9" s="206"/>
      <c r="F9" s="206"/>
      <c r="G9" s="1"/>
    </row>
    <row r="10" spans="1:7" ht="13.2" x14ac:dyDescent="0.25">
      <c r="A10" s="1"/>
      <c r="B10" s="1"/>
      <c r="C10" s="1"/>
      <c r="D10" s="3"/>
      <c r="E10" s="3"/>
      <c r="F10" s="3"/>
      <c r="G10" s="1"/>
    </row>
    <row r="11" spans="1:7" ht="20.25" customHeight="1" x14ac:dyDescent="0.25">
      <c r="A11" s="1"/>
      <c r="B11" s="208" t="s">
        <v>3</v>
      </c>
      <c r="C11" s="206"/>
      <c r="D11" s="209" t="str">
        <f ca="1">IFERROR(__xludf.DUMMYFUNCTION("IFERROR(IMPORTRANGE('System Setup'!AF4, ""Course Detail!D11""))"),"2023-2024")</f>
        <v>2023-2024</v>
      </c>
      <c r="E11" s="206"/>
      <c r="F11" s="206"/>
      <c r="G11" s="1"/>
    </row>
    <row r="12" spans="1:7" ht="13.2" x14ac:dyDescent="0.25">
      <c r="A12" s="1"/>
      <c r="B12" s="1"/>
      <c r="C12" s="1"/>
      <c r="D12" s="1"/>
      <c r="E12" s="1"/>
      <c r="F12" s="1"/>
      <c r="G12" s="1"/>
    </row>
    <row r="13" spans="1:7" ht="19.5" customHeight="1" x14ac:dyDescent="0.25">
      <c r="A13" s="1"/>
      <c r="B13" s="208" t="s">
        <v>4</v>
      </c>
      <c r="C13" s="206"/>
      <c r="D13" s="210"/>
      <c r="E13" s="206"/>
      <c r="F13" s="1"/>
      <c r="G13" s="1"/>
    </row>
    <row r="14" spans="1:7" ht="13.2" x14ac:dyDescent="0.25">
      <c r="A14" s="1"/>
      <c r="B14" s="1"/>
      <c r="C14" s="1"/>
      <c r="D14" s="1"/>
      <c r="E14" s="1"/>
      <c r="F14" s="1"/>
      <c r="G14" s="1"/>
    </row>
    <row r="15" spans="1:7" ht="13.2" x14ac:dyDescent="0.25">
      <c r="A15" s="1"/>
      <c r="B15" s="1"/>
      <c r="C15" s="1"/>
      <c r="D15" s="1"/>
      <c r="E15" s="1"/>
      <c r="F15" s="1"/>
      <c r="G15" s="1"/>
    </row>
    <row r="16" spans="1:7" ht="13.2" x14ac:dyDescent="0.25">
      <c r="A16" s="1"/>
      <c r="B16" s="1"/>
      <c r="C16" s="1"/>
      <c r="D16" s="1"/>
      <c r="E16" s="1"/>
      <c r="F16" s="1"/>
      <c r="G16" s="1"/>
    </row>
    <row r="17" spans="1:7" ht="21.75" customHeight="1" x14ac:dyDescent="0.25">
      <c r="A17" s="1"/>
      <c r="B17" s="211" t="s">
        <v>5</v>
      </c>
      <c r="C17" s="206"/>
      <c r="D17" s="206"/>
      <c r="E17" s="5" t="s">
        <v>6</v>
      </c>
      <c r="F17" s="4" t="s">
        <v>7</v>
      </c>
      <c r="G17" s="1"/>
    </row>
    <row r="18" spans="1:7" ht="13.2" x14ac:dyDescent="0.25">
      <c r="A18" s="1"/>
      <c r="B18" s="1"/>
      <c r="C18" s="1"/>
      <c r="D18" s="1"/>
      <c r="E18" s="1"/>
      <c r="F18" s="1"/>
      <c r="G18" s="1"/>
    </row>
    <row r="19" spans="1:7" ht="13.2" x14ac:dyDescent="0.25">
      <c r="B19" s="6"/>
      <c r="C19" s="6"/>
      <c r="D19" s="6"/>
      <c r="E19" s="6"/>
      <c r="F19" s="6"/>
    </row>
    <row r="20" spans="1:7" ht="13.2" x14ac:dyDescent="0.25">
      <c r="B20" s="6"/>
      <c r="C20" s="6"/>
      <c r="D20" s="6"/>
      <c r="E20" s="6"/>
      <c r="F20" s="6"/>
    </row>
    <row r="21" spans="1:7" ht="13.2" x14ac:dyDescent="0.25">
      <c r="B21" s="212"/>
      <c r="C21" s="206"/>
      <c r="D21" s="206"/>
      <c r="E21" s="6"/>
      <c r="F21" s="6"/>
    </row>
    <row r="22" spans="1:7" ht="13.2" x14ac:dyDescent="0.25">
      <c r="B22" s="6"/>
      <c r="C22" s="6"/>
      <c r="D22" s="6"/>
      <c r="E22" s="6"/>
      <c r="F22" s="6"/>
    </row>
    <row r="23" spans="1:7" ht="13.2" x14ac:dyDescent="0.25">
      <c r="B23" s="6"/>
      <c r="C23" s="6"/>
      <c r="D23" s="6"/>
      <c r="E23" s="6"/>
      <c r="F23" s="6"/>
    </row>
    <row r="24" spans="1:7" ht="13.2" x14ac:dyDescent="0.25">
      <c r="B24" s="6"/>
      <c r="C24" s="6"/>
      <c r="D24" s="6"/>
      <c r="E24" s="6"/>
      <c r="F24" s="6"/>
    </row>
    <row r="25" spans="1:7" ht="13.2" x14ac:dyDescent="0.25">
      <c r="B25" s="6"/>
      <c r="C25" s="6"/>
      <c r="D25" s="6"/>
      <c r="E25" s="6"/>
      <c r="F25" s="6"/>
    </row>
    <row r="26" spans="1:7" ht="13.2" x14ac:dyDescent="0.25">
      <c r="B26" s="6"/>
      <c r="C26" s="6"/>
      <c r="D26" s="6"/>
      <c r="E26" s="6"/>
      <c r="F26" s="6"/>
    </row>
    <row r="27" spans="1:7" ht="13.2" x14ac:dyDescent="0.25">
      <c r="B27" s="6"/>
      <c r="C27" s="6"/>
      <c r="D27" s="6"/>
      <c r="E27" s="6"/>
      <c r="F27" s="6"/>
    </row>
    <row r="28" spans="1:7" ht="13.2" x14ac:dyDescent="0.25">
      <c r="B28" s="6"/>
      <c r="C28" s="6"/>
      <c r="D28" s="6"/>
      <c r="E28" s="6"/>
      <c r="F28" s="6"/>
    </row>
    <row r="29" spans="1:7" ht="13.2" x14ac:dyDescent="0.25">
      <c r="B29" s="6"/>
      <c r="C29" s="6"/>
      <c r="D29" s="6"/>
      <c r="E29" s="6"/>
      <c r="F29" s="6"/>
    </row>
    <row r="30" spans="1:7" ht="13.2" x14ac:dyDescent="0.25">
      <c r="B30" s="6"/>
      <c r="C30" s="6"/>
      <c r="D30" s="6"/>
      <c r="E30" s="6"/>
      <c r="F30" s="6"/>
    </row>
    <row r="31" spans="1:7" ht="13.2" x14ac:dyDescent="0.25">
      <c r="B31" s="6"/>
      <c r="C31" s="6"/>
      <c r="D31" s="6"/>
      <c r="E31" s="6"/>
      <c r="F31" s="6"/>
    </row>
  </sheetData>
  <mergeCells count="12">
    <mergeCell ref="B11:C11"/>
    <mergeCell ref="B13:C13"/>
    <mergeCell ref="D13:E13"/>
    <mergeCell ref="B17:D17"/>
    <mergeCell ref="B21:D21"/>
    <mergeCell ref="D11:F11"/>
    <mergeCell ref="B5:C5"/>
    <mergeCell ref="E5:F5"/>
    <mergeCell ref="B7:C7"/>
    <mergeCell ref="D7:F7"/>
    <mergeCell ref="B9:C9"/>
    <mergeCell ref="D9:F9"/>
  </mergeCells>
  <dataValidations count="1">
    <dataValidation type="custom" allowBlank="1" showDropDown="1" sqref="D13" xr:uid="{00000000-0002-0000-0000-000000000000}">
      <formula1>OR(NOT(ISERROR(DATEVALUE(D13))), AND(ISNUMBER(D13), LEFT(CELL("format", D13))="D"))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outlinePr summaryBelow="0" summaryRight="0"/>
  </sheetPr>
  <dimension ref="A1:AG999"/>
  <sheetViews>
    <sheetView workbookViewId="0">
      <pane ySplit="2" topLeftCell="A3" activePane="bottomLeft" state="frozen"/>
      <selection pane="bottomLeft" activeCell="B4" sqref="B4"/>
    </sheetView>
  </sheetViews>
  <sheetFormatPr defaultColWidth="12.6640625" defaultRowHeight="15.75" customHeight="1" x14ac:dyDescent="0.25"/>
  <cols>
    <col min="1" max="1" width="5.33203125" customWidth="1"/>
    <col min="2" max="3" width="12.6640625" hidden="1"/>
    <col min="4" max="4" width="18.6640625" hidden="1" customWidth="1"/>
    <col min="5" max="5" width="20.44140625" hidden="1" customWidth="1"/>
    <col min="6" max="9" width="12.6640625" hidden="1"/>
    <col min="10" max="10" width="20.77734375" hidden="1" customWidth="1"/>
    <col min="11" max="15" width="12.6640625" hidden="1"/>
    <col min="16" max="16" width="7.77734375" customWidth="1"/>
    <col min="19" max="19" width="12.6640625" hidden="1"/>
    <col min="22" max="22" width="5.77734375" customWidth="1"/>
    <col min="23" max="23" width="30.21875" hidden="1" customWidth="1"/>
    <col min="25" max="25" width="19.21875" customWidth="1"/>
    <col min="26" max="26" width="6.44140625" customWidth="1"/>
    <col min="27" max="27" width="32.44140625" hidden="1" customWidth="1"/>
    <col min="28" max="28" width="5.6640625" customWidth="1"/>
    <col min="29" max="29" width="18.77734375" customWidth="1"/>
    <col min="30" max="30" width="6.33203125" customWidth="1"/>
    <col min="31" max="31" width="16" customWidth="1"/>
    <col min="32" max="32" width="33.109375" customWidth="1"/>
    <col min="33" max="33" width="7.6640625" customWidth="1"/>
  </cols>
  <sheetData>
    <row r="1" spans="1:33" x14ac:dyDescent="0.25">
      <c r="A1" s="7"/>
      <c r="B1" s="213" t="s">
        <v>9</v>
      </c>
      <c r="C1" s="206"/>
      <c r="D1" s="206"/>
      <c r="E1" s="20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8"/>
      <c r="AB1" s="7"/>
      <c r="AC1" s="7"/>
      <c r="AD1" s="7"/>
      <c r="AE1" s="214"/>
      <c r="AF1" s="206"/>
      <c r="AG1" s="9"/>
    </row>
    <row r="2" spans="1:33" x14ac:dyDescent="0.25">
      <c r="A2" s="10"/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10">
        <v>7</v>
      </c>
      <c r="I2" s="10">
        <v>8</v>
      </c>
      <c r="J2" s="10">
        <v>9</v>
      </c>
      <c r="K2" s="10">
        <v>10</v>
      </c>
      <c r="L2" s="10">
        <v>11</v>
      </c>
      <c r="M2" s="10">
        <v>12</v>
      </c>
      <c r="N2" s="10" t="s">
        <v>10</v>
      </c>
      <c r="O2" s="10" t="s">
        <v>11</v>
      </c>
      <c r="P2" s="10"/>
      <c r="Q2" s="10" t="s">
        <v>12</v>
      </c>
      <c r="R2" s="10"/>
      <c r="S2" s="10" t="s">
        <v>13</v>
      </c>
      <c r="T2" s="10"/>
      <c r="U2" s="10" t="s">
        <v>14</v>
      </c>
      <c r="V2" s="10"/>
      <c r="W2" s="10" t="s">
        <v>15</v>
      </c>
      <c r="X2" s="10"/>
      <c r="Y2" s="10" t="s">
        <v>16</v>
      </c>
      <c r="Z2" s="10"/>
      <c r="AA2" s="11" t="s">
        <v>17</v>
      </c>
      <c r="AB2" s="10"/>
      <c r="AC2" s="10" t="s">
        <v>18</v>
      </c>
      <c r="AD2" s="10"/>
      <c r="AE2" s="10"/>
      <c r="AF2" s="10"/>
      <c r="AG2" s="10"/>
    </row>
    <row r="3" spans="1:33" x14ac:dyDescent="0.25">
      <c r="A3" s="7"/>
      <c r="B3" s="7" t="e">
        <f t="array" ref="B3">TRANSPOSE('[1]Form Responses OSCE Station 1'!N2:BC2)</f>
        <v>#REF!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 t="e">
        <f t="shared" ref="N3:N257" si="0">IF(F3&lt;&gt;"",F3,IF(G3&lt;&gt;"",G3,IF(B3&lt;&gt;"",B3,IF(C3&lt;&gt;"",C3,IF(D3&lt;&gt;"",D3,IF(E3&lt;&gt;"",E3,IF(M3&lt;&gt;"",M3,IF(L3&lt;&gt;"",L3,IF(K3&lt;&gt;"",K3,IF(H3&lt;&gt;"",H3,IF(I3&lt;&gt;"",I3,IF(J3&lt;&gt;"",J3,""))))))))))))</f>
        <v>#REF!</v>
      </c>
      <c r="O3" s="7" t="str">
        <f ca="1">IFERROR(__xludf.DUMMYFUNCTION("FILTER(N3:N999,N3:N999&lt;&gt;"""")"),"#N/A")</f>
        <v>#N/A</v>
      </c>
      <c r="P3" s="7"/>
      <c r="Q3" s="12" t="str">
        <f ca="1">IFERROR(__xludf.DUMMYFUNCTION("iferror(UNIQUE(SORT(FILTER('CLO Matrix '!F7:F726,'CLO Matrix '!F7:F726&lt;&gt;""""))))"),"")</f>
        <v/>
      </c>
      <c r="R3" s="7"/>
      <c r="S3" s="13" t="str">
        <f ca="1">IFERROR(__xludf.DUMMYFUNCTION("IMPORTRANGE('System Setup'!AF4,""System Setup!S5:S43"")"),"1")</f>
        <v>1</v>
      </c>
      <c r="T3" s="14"/>
      <c r="U3" s="14" t="str">
        <f ca="1">IFERROR(__xludf.DUMMYFUNCTION("iferror(UNIQUE(SORT(FILTER('CLO Matrix '!H7:H726,'CLO Matrix '!H7:H726&lt;&gt;""""))))"),"")</f>
        <v/>
      </c>
      <c r="V3" s="14"/>
      <c r="W3" s="15" t="str">
        <f ca="1">IFERROR(__xludf.DUMMYFUNCTION("IMPORTRANGE('System Setup'!AF4,""System Setup!W5:W18"")"),"01. Integrated scientific knowledge")</f>
        <v>01. Integrated scientific knowledge</v>
      </c>
      <c r="X3" s="14"/>
      <c r="Y3" s="14" t="str">
        <f ca="1">IFERROR(__xludf.DUMMYFUNCTION("iferror(UNIQUE(SORT(FILTER('CLO Matrix '!G7:G726,'CLO Matrix '!G7:G726&lt;&gt;""""))))"),"")</f>
        <v/>
      </c>
      <c r="Z3" s="14"/>
      <c r="AA3" s="16" t="str">
        <f ca="1">IFERROR(__xludf.DUMMYFUNCTION("IMPORTRANGE('System Setup'!AF4,""System Setup!AA5:AA33"")"),"1.01.Clinical Reasoning &amp; Critical Thinking (Apply Knowledge)")</f>
        <v>1.01.Clinical Reasoning &amp; Critical Thinking (Apply Knowledge)</v>
      </c>
      <c r="AB3" s="7"/>
      <c r="AC3" s="17" t="str">
        <f ca="1">IFERROR(__xludf.DUMMYFUNCTION("IMPORTRANGE('System Setup'!AF4,""System Setup!AC5:AC35"")"),"Anatomy")</f>
        <v>Anatomy</v>
      </c>
      <c r="AD3" s="7"/>
      <c r="AE3" s="18"/>
      <c r="AF3" s="7"/>
      <c r="AG3" s="7"/>
    </row>
    <row r="4" spans="1:33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 t="str">
        <f t="shared" si="0"/>
        <v/>
      </c>
      <c r="O4" s="7"/>
      <c r="P4" s="7"/>
      <c r="Q4" s="12"/>
      <c r="R4" s="7"/>
      <c r="S4" s="13" t="str">
        <f ca="1">IFERROR(__xludf.DUMMYFUNCTION("""COMPUTED_VALUE"""),"1.1")</f>
        <v>1.1</v>
      </c>
      <c r="T4" s="14"/>
      <c r="U4" s="14"/>
      <c r="V4" s="14"/>
      <c r="W4" s="15" t="str">
        <f ca="1">IFERROR(__xludf.DUMMYFUNCTION("""COMPUTED_VALUE"""),"02. Professionalism and ethical competence")</f>
        <v>02. Professionalism and ethical competence</v>
      </c>
      <c r="X4" s="14"/>
      <c r="Y4" s="14"/>
      <c r="Z4" s="14"/>
      <c r="AA4" s="16" t="str">
        <f ca="1">IFERROR(__xludf.DUMMYFUNCTION("""COMPUTED_VALUE"""),"1.02.Hypothesis Driven Data Gathering to Diagnose")</f>
        <v>1.02.Hypothesis Driven Data Gathering to Diagnose</v>
      </c>
      <c r="AB4" s="7"/>
      <c r="AC4" s="17" t="str">
        <f ca="1">IFERROR(__xludf.DUMMYFUNCTION("""COMPUTED_VALUE"""),"Anesthesia")</f>
        <v>Anesthesia</v>
      </c>
      <c r="AD4" s="7"/>
      <c r="AE4" s="18" t="s">
        <v>0</v>
      </c>
      <c r="AF4" s="2">
        <f>'Course Detail'!D5</f>
        <v>0</v>
      </c>
      <c r="AG4" s="19"/>
    </row>
    <row r="5" spans="1:33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 t="str">
        <f t="shared" si="0"/>
        <v/>
      </c>
      <c r="O5" s="7"/>
      <c r="P5" s="7"/>
      <c r="Q5" s="12"/>
      <c r="R5" s="7"/>
      <c r="S5" s="13" t="str">
        <f ca="1">IFERROR(__xludf.DUMMYFUNCTION("""COMPUTED_VALUE"""),"1.2")</f>
        <v>1.2</v>
      </c>
      <c r="T5" s="14"/>
      <c r="U5" s="14"/>
      <c r="V5" s="14"/>
      <c r="W5" s="15" t="str">
        <f ca="1">IFERROR(__xludf.DUMMYFUNCTION("""COMPUTED_VALUE"""),"03. Self-aware awareness")</f>
        <v>03. Self-aware awareness</v>
      </c>
      <c r="X5" s="14"/>
      <c r="Y5" s="14"/>
      <c r="Z5" s="14"/>
      <c r="AA5" s="16" t="str">
        <f ca="1">IFERROR(__xludf.DUMMYFUNCTION("""COMPUTED_VALUE"""),"1.03.Visual Recognition")</f>
        <v>1.03.Visual Recognition</v>
      </c>
      <c r="AB5" s="7"/>
      <c r="AC5" s="17" t="str">
        <f ca="1">IFERROR(__xludf.DUMMYFUNCTION("""COMPUTED_VALUE"""),"Biochemistry")</f>
        <v>Biochemistry</v>
      </c>
      <c r="AD5" s="7"/>
      <c r="AE5" s="18"/>
      <c r="AF5" s="7"/>
      <c r="AG5" s="7"/>
    </row>
    <row r="6" spans="1:33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 t="str">
        <f t="shared" si="0"/>
        <v/>
      </c>
      <c r="O6" s="7"/>
      <c r="P6" s="7"/>
      <c r="Q6" s="12"/>
      <c r="R6" s="7"/>
      <c r="S6" s="13" t="str">
        <f ca="1">IFERROR(__xludf.DUMMYFUNCTION("""COMPUTED_VALUE"""),"1.3")</f>
        <v>1.3</v>
      </c>
      <c r="T6" s="14"/>
      <c r="U6" s="14"/>
      <c r="V6" s="14"/>
      <c r="W6" s="15" t="str">
        <f ca="1">IFERROR(__xludf.DUMMYFUNCTION("""COMPUTED_VALUE"""),"04. Initiative")</f>
        <v>04. Initiative</v>
      </c>
      <c r="X6" s="14"/>
      <c r="Y6" s="14"/>
      <c r="Z6" s="14"/>
      <c r="AA6" s="16" t="str">
        <f ca="1">IFERROR(__xludf.DUMMYFUNCTION("""COMPUTED_VALUE"""),"1.04.Selecting and Interpreting Diagnostic Studies")</f>
        <v>1.04.Selecting and Interpreting Diagnostic Studies</v>
      </c>
      <c r="AB6" s="7"/>
      <c r="AC6" s="20" t="str">
        <f ca="1">IFERROR(__xludf.DUMMYFUNCTION("""COMPUTED_VALUE"""),"BSS")</f>
        <v>BSS</v>
      </c>
      <c r="AD6" s="7"/>
      <c r="AE6" s="18"/>
      <c r="AF6" s="7"/>
      <c r="AG6" s="7"/>
    </row>
    <row r="7" spans="1:33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 t="str">
        <f t="shared" si="0"/>
        <v/>
      </c>
      <c r="O7" s="7"/>
      <c r="P7" s="7"/>
      <c r="Q7" s="12"/>
      <c r="R7" s="7"/>
      <c r="S7" s="13" t="str">
        <f ca="1">IFERROR(__xludf.DUMMYFUNCTION("""COMPUTED_VALUE"""),"1.4")</f>
        <v>1.4</v>
      </c>
      <c r="T7" s="14"/>
      <c r="U7" s="14"/>
      <c r="V7" s="14"/>
      <c r="W7" s="15" t="str">
        <f ca="1">IFERROR(__xludf.DUMMYFUNCTION("""COMPUTED_VALUE"""),"05. Interprofessional Communication.")</f>
        <v>05. Interprofessional Communication.</v>
      </c>
      <c r="X7" s="14"/>
      <c r="Y7" s="14"/>
      <c r="Z7" s="14"/>
      <c r="AA7" s="16" t="str">
        <f ca="1">IFERROR(__xludf.DUMMYFUNCTION("""COMPUTED_VALUE"""),"1.05.Formulating Differential Diagnosis")</f>
        <v>1.05.Formulating Differential Diagnosis</v>
      </c>
      <c r="AB7" s="7"/>
      <c r="AC7" s="21" t="str">
        <f ca="1">IFERROR(__xludf.DUMMYFUNCTION("""COMPUTED_VALUE"""),"Community Medicine")</f>
        <v>Community Medicine</v>
      </c>
      <c r="AD7" s="7"/>
      <c r="AE7" s="18"/>
      <c r="AF7" s="7"/>
      <c r="AG7" s="7"/>
    </row>
    <row r="8" spans="1:33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 t="str">
        <f t="shared" si="0"/>
        <v/>
      </c>
      <c r="O8" s="7"/>
      <c r="P8" s="7"/>
      <c r="Q8" s="12"/>
      <c r="R8" s="7"/>
      <c r="S8" s="13" t="str">
        <f ca="1">IFERROR(__xludf.DUMMYFUNCTION("""COMPUTED_VALUE"""),"1.5")</f>
        <v>1.5</v>
      </c>
      <c r="T8" s="14"/>
      <c r="U8" s="14"/>
      <c r="V8" s="14"/>
      <c r="W8" s="15" t="str">
        <f ca="1">IFERROR(__xludf.DUMMYFUNCTION("""COMPUTED_VALUE"""),"06. Leadership and collaboration")</f>
        <v>06. Leadership and collaboration</v>
      </c>
      <c r="X8" s="14"/>
      <c r="Y8" s="14"/>
      <c r="Z8" s="14"/>
      <c r="AA8" s="16" t="str">
        <f ca="1">IFERROR(__xludf.DUMMYFUNCTION("""COMPUTED_VALUE"""),"1.06.Maintaining  Health &amp; Preventing Disease")</f>
        <v>1.06.Maintaining  Health &amp; Preventing Disease</v>
      </c>
      <c r="AB8" s="7"/>
      <c r="AC8" s="17" t="str">
        <f ca="1">IFERROR(__xludf.DUMMYFUNCTION("""COMPUTED_VALUE"""),"Dermatology")</f>
        <v>Dermatology</v>
      </c>
      <c r="AD8" s="7"/>
      <c r="AE8" s="18"/>
      <c r="AF8" s="7"/>
      <c r="AG8" s="7"/>
    </row>
    <row r="9" spans="1:33" x14ac:dyDescent="0.25">
      <c r="A9" s="7"/>
      <c r="B9" s="7"/>
      <c r="C9" s="22"/>
      <c r="D9" s="7"/>
      <c r="E9" s="7"/>
      <c r="F9" s="7"/>
      <c r="G9" s="7"/>
      <c r="H9" s="7"/>
      <c r="I9" s="7"/>
      <c r="J9" s="7"/>
      <c r="K9" s="7"/>
      <c r="L9" s="7"/>
      <c r="M9" s="7"/>
      <c r="N9" s="7" t="str">
        <f t="shared" si="0"/>
        <v/>
      </c>
      <c r="O9" s="7"/>
      <c r="P9" s="7"/>
      <c r="Q9" s="12"/>
      <c r="R9" s="7"/>
      <c r="S9" s="13" t="str">
        <f ca="1">IFERROR(__xludf.DUMMYFUNCTION("""COMPUTED_VALUE"""),"1.6")</f>
        <v>1.6</v>
      </c>
      <c r="T9" s="14"/>
      <c r="U9" s="14"/>
      <c r="V9" s="14"/>
      <c r="W9" s="15" t="str">
        <f ca="1">IFERROR(__xludf.DUMMYFUNCTION("""COMPUTED_VALUE"""),"07. Scholarly ")</f>
        <v xml:space="preserve">07. Scholarly </v>
      </c>
      <c r="X9" s="14"/>
      <c r="Y9" s="14"/>
      <c r="Z9" s="14"/>
      <c r="AA9" s="16" t="str">
        <f ca="1">IFERROR(__xludf.DUMMYFUNCTION("""COMPUTED_VALUE"""),"1.07.Selecting Clinical Interventions (Mixed Management)")</f>
        <v>1.07.Selecting Clinical Interventions (Mixed Management)</v>
      </c>
      <c r="AB9" s="7"/>
      <c r="AC9" s="20" t="str">
        <f ca="1">IFERROR(__xludf.DUMMYFUNCTION("""COMPUTED_VALUE"""),"EBM")</f>
        <v>EBM</v>
      </c>
      <c r="AD9" s="7"/>
      <c r="AE9" s="18"/>
      <c r="AF9" s="7"/>
      <c r="AG9" s="7"/>
    </row>
    <row r="10" spans="1:33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 t="str">
        <f t="shared" si="0"/>
        <v/>
      </c>
      <c r="O10" s="7"/>
      <c r="P10" s="7"/>
      <c r="Q10" s="12"/>
      <c r="R10" s="7"/>
      <c r="S10" s="13" t="str">
        <f ca="1">IFERROR(__xludf.DUMMYFUNCTION("""COMPUTED_VALUE"""),"1.7")</f>
        <v>1.7</v>
      </c>
      <c r="T10" s="14"/>
      <c r="U10" s="14"/>
      <c r="V10" s="14"/>
      <c r="W10" s="15" t="str">
        <f ca="1">IFERROR(__xludf.DUMMYFUNCTION("""COMPUTED_VALUE"""),"08. Problem-solving and critical thinking")</f>
        <v>08. Problem-solving and critical thinking</v>
      </c>
      <c r="X10" s="14"/>
      <c r="Y10" s="14"/>
      <c r="Z10" s="14"/>
      <c r="AA10" s="16" t="str">
        <f ca="1">IFERROR(__xludf.DUMMYFUNCTION("""COMPUTED_VALUE"""),"1.08.Prescribing and Pharmacotherapy")</f>
        <v>1.08.Prescribing and Pharmacotherapy</v>
      </c>
      <c r="AB10" s="7"/>
      <c r="AC10" s="17" t="str">
        <f ca="1">IFERROR(__xludf.DUMMYFUNCTION("""COMPUTED_VALUE"""),"Emergency Medicine")</f>
        <v>Emergency Medicine</v>
      </c>
      <c r="AD10" s="7"/>
      <c r="AE10" s="18"/>
      <c r="AF10" s="7"/>
      <c r="AG10" s="7"/>
    </row>
    <row r="11" spans="1:33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 t="str">
        <f t="shared" si="0"/>
        <v/>
      </c>
      <c r="O11" s="7"/>
      <c r="P11" s="7"/>
      <c r="Q11" s="12"/>
      <c r="R11" s="7"/>
      <c r="S11" s="13" t="str">
        <f ca="1">IFERROR(__xludf.DUMMYFUNCTION("""COMPUTED_VALUE"""),"1.8")</f>
        <v>1.8</v>
      </c>
      <c r="T11" s="14"/>
      <c r="U11" s="14"/>
      <c r="V11" s="14"/>
      <c r="W11" s="15" t="str">
        <f ca="1">IFERROR(__xludf.DUMMYFUNCTION("""COMPUTED_VALUE"""),"09. Health advocate")</f>
        <v>09. Health advocate</v>
      </c>
      <c r="X11" s="14"/>
      <c r="Y11" s="14"/>
      <c r="Z11" s="14"/>
      <c r="AA11" s="16" t="str">
        <f ca="1">IFERROR(__xludf.DUMMYFUNCTION("""COMPUTED_VALUE"""),"1.09.Assessing for Prognosis/Outcome")</f>
        <v>1.09.Assessing for Prognosis/Outcome</v>
      </c>
      <c r="AB11" s="7"/>
      <c r="AC11" s="17" t="str">
        <f ca="1">IFERROR(__xludf.DUMMYFUNCTION("""COMPUTED_VALUE"""),"ENT")</f>
        <v>ENT</v>
      </c>
      <c r="AD11" s="7"/>
      <c r="AE11" s="18"/>
      <c r="AF11" s="7"/>
      <c r="AG11" s="7"/>
    </row>
    <row r="12" spans="1:33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 t="str">
        <f t="shared" si="0"/>
        <v/>
      </c>
      <c r="O12" s="7"/>
      <c r="P12" s="7"/>
      <c r="Q12" s="12"/>
      <c r="R12" s="7"/>
      <c r="S12" s="23"/>
      <c r="T12" s="14"/>
      <c r="U12" s="14"/>
      <c r="V12" s="14"/>
      <c r="W12" s="15" t="str">
        <f ca="1">IFERROR(__xludf.DUMMYFUNCTION("""COMPUTED_VALUE"""),"10. Social Responsibility")</f>
        <v>10. Social Responsibility</v>
      </c>
      <c r="X12" s="14"/>
      <c r="Y12" s="14"/>
      <c r="Z12" s="14"/>
      <c r="AA12" s="16" t="str">
        <f ca="1">IFERROR(__xludf.DUMMYFUNCTION("""COMPUTED_VALUE"""),"1.10.Inquiry &amp; Research")</f>
        <v>1.10.Inquiry &amp; Research</v>
      </c>
      <c r="AB12" s="7"/>
      <c r="AC12" s="20" t="str">
        <f ca="1">IFERROR(__xludf.DUMMYFUNCTION("""COMPUTED_VALUE"""),"Ethics &amp; Law")</f>
        <v>Ethics &amp; Law</v>
      </c>
      <c r="AD12" s="7"/>
      <c r="AE12" s="18"/>
      <c r="AF12" s="7"/>
      <c r="AG12" s="7"/>
    </row>
    <row r="13" spans="1:33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 t="str">
        <f t="shared" si="0"/>
        <v/>
      </c>
      <c r="O13" s="7"/>
      <c r="P13" s="7"/>
      <c r="Q13" s="12"/>
      <c r="R13" s="7"/>
      <c r="S13" s="23"/>
      <c r="T13" s="14"/>
      <c r="U13" s="14"/>
      <c r="V13" s="14"/>
      <c r="W13" s="15" t="str">
        <f ca="1">IFERROR(__xludf.DUMMYFUNCTION("""COMPUTED_VALUE"""),"11. Teamwork")</f>
        <v>11. Teamwork</v>
      </c>
      <c r="X13" s="14"/>
      <c r="Y13" s="14"/>
      <c r="Z13" s="14"/>
      <c r="AA13" s="16" t="str">
        <f ca="1">IFERROR(__xludf.DUMMYFUNCTION("""COMPUTED_VALUE"""),"2.01.Interviewing")</f>
        <v>2.01.Interviewing</v>
      </c>
      <c r="AB13" s="7"/>
      <c r="AC13" s="17" t="str">
        <f ca="1">IFERROR(__xludf.DUMMYFUNCTION("""COMPUTED_VALUE"""),"Family Medicine ")</f>
        <v xml:space="preserve">Family Medicine </v>
      </c>
      <c r="AD13" s="7"/>
      <c r="AE13" s="18"/>
      <c r="AF13" s="7"/>
      <c r="AG13" s="7"/>
    </row>
    <row r="14" spans="1:33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 t="str">
        <f t="shared" si="0"/>
        <v/>
      </c>
      <c r="O14" s="7"/>
      <c r="P14" s="7"/>
      <c r="Q14" s="12"/>
      <c r="R14" s="7"/>
      <c r="S14" s="23"/>
      <c r="T14" s="14"/>
      <c r="U14" s="14"/>
      <c r="V14" s="14"/>
      <c r="W14" s="15" t="str">
        <f ca="1">IFERROR(__xludf.DUMMYFUNCTION("""COMPUTED_VALUE"""),"12. Life-long learner.")</f>
        <v>12. Life-long learner.</v>
      </c>
      <c r="X14" s="14"/>
      <c r="Y14" s="14"/>
      <c r="Z14" s="14"/>
      <c r="AA14" s="16" t="str">
        <f ca="1">IFERROR(__xludf.DUMMYFUNCTION("""COMPUTED_VALUE"""),"2.02.Communication in Special Situations")</f>
        <v>2.02.Communication in Special Situations</v>
      </c>
      <c r="AB14" s="7"/>
      <c r="AC14" s="17" t="str">
        <f ca="1">IFERROR(__xludf.DUMMYFUNCTION("""COMPUTED_VALUE"""),"General Surgery")</f>
        <v>General Surgery</v>
      </c>
      <c r="AD14" s="7"/>
      <c r="AE14" s="18"/>
      <c r="AF14" s="7"/>
      <c r="AG14" s="7"/>
    </row>
    <row r="15" spans="1:33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 t="str">
        <f t="shared" si="0"/>
        <v/>
      </c>
      <c r="O15" s="7"/>
      <c r="P15" s="7"/>
      <c r="Q15" s="12"/>
      <c r="R15" s="7"/>
      <c r="S15" s="23"/>
      <c r="T15" s="14"/>
      <c r="U15" s="14"/>
      <c r="V15" s="14"/>
      <c r="W15" s="15"/>
      <c r="X15" s="14"/>
      <c r="Y15" s="14"/>
      <c r="Z15" s="14"/>
      <c r="AA15" s="16" t="str">
        <f ca="1">IFERROR(__xludf.DUMMYFUNCTION("""COMPUTED_VALUE"""),"2.03.Patient Education and Shared Decision Making")</f>
        <v>2.03.Patient Education and Shared Decision Making</v>
      </c>
      <c r="AB15" s="7"/>
      <c r="AC15" s="20" t="str">
        <f ca="1">IFERROR(__xludf.DUMMYFUNCTION("""COMPUTED_VALUE"""),"Genetics")</f>
        <v>Genetics</v>
      </c>
      <c r="AD15" s="7"/>
      <c r="AE15" s="18"/>
      <c r="AF15" s="7"/>
      <c r="AG15" s="7"/>
    </row>
    <row r="16" spans="1:33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 t="str">
        <f t="shared" si="0"/>
        <v/>
      </c>
      <c r="O16" s="7"/>
      <c r="P16" s="7"/>
      <c r="Q16" s="12"/>
      <c r="R16" s="7"/>
      <c r="S16" s="23"/>
      <c r="T16" s="14"/>
      <c r="U16" s="14"/>
      <c r="V16" s="14"/>
      <c r="W16" s="15"/>
      <c r="X16" s="14"/>
      <c r="Y16" s="14"/>
      <c r="Z16" s="14"/>
      <c r="AA16" s="16" t="str">
        <f ca="1">IFERROR(__xludf.DUMMYFUNCTION("""COMPUTED_VALUE"""),"2.05.Presenting")</f>
        <v>2.05.Presenting</v>
      </c>
      <c r="AB16" s="7"/>
      <c r="AC16" s="20" t="str">
        <f ca="1">IFERROR(__xludf.DUMMYFUNCTION("""COMPUTED_VALUE"""),"Internal Medicine")</f>
        <v>Internal Medicine</v>
      </c>
      <c r="AD16" s="7"/>
      <c r="AE16" s="18"/>
      <c r="AF16" s="7"/>
      <c r="AG16" s="7"/>
    </row>
    <row r="17" spans="1:33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 t="str">
        <f t="shared" si="0"/>
        <v/>
      </c>
      <c r="O17" s="7"/>
      <c r="P17" s="7"/>
      <c r="Q17" s="12"/>
      <c r="R17" s="7"/>
      <c r="S17" s="23"/>
      <c r="T17" s="14"/>
      <c r="U17" s="14"/>
      <c r="V17" s="14"/>
      <c r="W17" s="14"/>
      <c r="X17" s="14"/>
      <c r="Y17" s="14"/>
      <c r="Z17" s="14"/>
      <c r="AA17" s="16" t="str">
        <f ca="1">IFERROR(__xludf.DUMMYFUNCTION("""COMPUTED_VALUE"""),"2.06.Information Technology")</f>
        <v>2.06.Information Technology</v>
      </c>
      <c r="AB17" s="7"/>
      <c r="AC17" s="17" t="str">
        <f ca="1">IFERROR(__xludf.DUMMYFUNCTION("""COMPUTED_VALUE"""),"Microbiology ")</f>
        <v xml:space="preserve">Microbiology </v>
      </c>
      <c r="AD17" s="7"/>
      <c r="AE17" s="18"/>
      <c r="AF17" s="7"/>
      <c r="AG17" s="7"/>
    </row>
    <row r="18" spans="1:33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 t="str">
        <f t="shared" si="0"/>
        <v/>
      </c>
      <c r="O18" s="7"/>
      <c r="P18" s="7"/>
      <c r="Q18" s="12"/>
      <c r="R18" s="7"/>
      <c r="S18" s="23"/>
      <c r="T18" s="14"/>
      <c r="U18" s="14"/>
      <c r="V18" s="14"/>
      <c r="W18" s="14"/>
      <c r="X18" s="14"/>
      <c r="Y18" s="14"/>
      <c r="Z18" s="14"/>
      <c r="AA18" s="24" t="str">
        <f ca="1">IFERROR(__xludf.DUMMYFUNCTION("""COMPUTED_VALUE"""),"3.01.Examination (General/ Systemic/ Special Assessment)")</f>
        <v>3.01.Examination (General/ Systemic/ Special Assessment)</v>
      </c>
      <c r="AB18" s="7"/>
      <c r="AC18" s="17" t="str">
        <f ca="1">IFERROR(__xludf.DUMMYFUNCTION("""COMPUTED_VALUE"""),"Neurology")</f>
        <v>Neurology</v>
      </c>
      <c r="AD18" s="7"/>
      <c r="AE18" s="7"/>
      <c r="AF18" s="7"/>
      <c r="AG18" s="7"/>
    </row>
    <row r="19" spans="1:33" x14ac:dyDescent="0.25">
      <c r="A19" s="7"/>
      <c r="B19" s="7"/>
      <c r="C19" s="7"/>
      <c r="D19" s="22"/>
      <c r="E19" s="7"/>
      <c r="F19" s="7"/>
      <c r="G19" s="7"/>
      <c r="H19" s="7"/>
      <c r="I19" s="7"/>
      <c r="J19" s="7"/>
      <c r="K19" s="7"/>
      <c r="L19" s="7"/>
      <c r="M19" s="7"/>
      <c r="N19" s="7" t="str">
        <f t="shared" si="0"/>
        <v/>
      </c>
      <c r="O19" s="7"/>
      <c r="P19" s="7"/>
      <c r="Q19" s="12"/>
      <c r="R19" s="7"/>
      <c r="S19" s="23"/>
      <c r="T19" s="14"/>
      <c r="U19" s="14"/>
      <c r="V19" s="14"/>
      <c r="W19" s="14"/>
      <c r="X19" s="14"/>
      <c r="Y19" s="14"/>
      <c r="Z19" s="14"/>
      <c r="AA19" s="24" t="str">
        <f ca="1">IFERROR(__xludf.DUMMYFUNCTION("""COMPUTED_VALUE"""),"3.02.Carrying out Procedure (Diagnostic)")</f>
        <v>3.02.Carrying out Procedure (Diagnostic)</v>
      </c>
      <c r="AB19" s="7"/>
      <c r="AC19" s="17" t="str">
        <f ca="1">IFERROR(__xludf.DUMMYFUNCTION("""COMPUTED_VALUE"""),"Neurosurgery")</f>
        <v>Neurosurgery</v>
      </c>
      <c r="AD19" s="7"/>
      <c r="AE19" s="7"/>
      <c r="AF19" s="7"/>
      <c r="AG19" s="7"/>
    </row>
    <row r="20" spans="1:33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 t="str">
        <f t="shared" si="0"/>
        <v/>
      </c>
      <c r="O20" s="7"/>
      <c r="P20" s="7"/>
      <c r="Q20" s="12"/>
      <c r="R20" s="7"/>
      <c r="S20" s="23"/>
      <c r="T20" s="14"/>
      <c r="U20" s="14"/>
      <c r="V20" s="14"/>
      <c r="W20" s="14"/>
      <c r="X20" s="14"/>
      <c r="Y20" s="14"/>
      <c r="Z20" s="14"/>
      <c r="AA20" s="24" t="str">
        <f ca="1">IFERROR(__xludf.DUMMYFUNCTION("""COMPUTED_VALUE"""),"3.03.Carrying out Procedure (Therapeutic)")</f>
        <v>3.03.Carrying out Procedure (Therapeutic)</v>
      </c>
      <c r="AB20" s="7"/>
      <c r="AC20" s="17" t="str">
        <f ca="1">IFERROR(__xludf.DUMMYFUNCTION("""COMPUTED_VALUE"""),"OBYGN")</f>
        <v>OBYGN</v>
      </c>
      <c r="AD20" s="7"/>
      <c r="AE20" s="7"/>
      <c r="AF20" s="7"/>
      <c r="AG20" s="7"/>
    </row>
    <row r="21" spans="1:33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 t="str">
        <f t="shared" si="0"/>
        <v/>
      </c>
      <c r="O21" s="7"/>
      <c r="P21" s="7"/>
      <c r="Q21" s="12"/>
      <c r="R21" s="7"/>
      <c r="S21" s="23"/>
      <c r="T21" s="14"/>
      <c r="U21" s="14"/>
      <c r="V21" s="14"/>
      <c r="W21" s="14"/>
      <c r="X21" s="14"/>
      <c r="Y21" s="14"/>
      <c r="Z21" s="14"/>
      <c r="AA21" s="24" t="str">
        <f ca="1">IFERROR(__xludf.DUMMYFUNCTION("""COMPUTED_VALUE"""),"3.04.Carrying out Procedure (Practical)")</f>
        <v>3.04.Carrying out Procedure (Practical)</v>
      </c>
      <c r="AB21" s="7"/>
      <c r="AC21" s="17" t="str">
        <f ca="1">IFERROR(__xludf.DUMMYFUNCTION("""COMPUTED_VALUE"""),"Ophthalmology")</f>
        <v>Ophthalmology</v>
      </c>
      <c r="AD21" s="7"/>
      <c r="AE21" s="7"/>
      <c r="AF21" s="7"/>
      <c r="AG21" s="7"/>
    </row>
    <row r="22" spans="1:33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 t="str">
        <f t="shared" si="0"/>
        <v/>
      </c>
      <c r="O22" s="7"/>
      <c r="P22" s="7"/>
      <c r="Q22" s="12"/>
      <c r="R22" s="7"/>
      <c r="S22" s="23"/>
      <c r="T22" s="14"/>
      <c r="U22" s="14"/>
      <c r="V22" s="14"/>
      <c r="W22" s="14"/>
      <c r="X22" s="14"/>
      <c r="Y22" s="14"/>
      <c r="Z22" s="14"/>
      <c r="AA22" s="24" t="str">
        <f ca="1">IFERROR(__xludf.DUMMYFUNCTION("""COMPUTED_VALUE"""),"4.01.Emergency &amp; Acute Management Competencies")</f>
        <v>4.01.Emergency &amp; Acute Management Competencies</v>
      </c>
      <c r="AB22" s="7"/>
      <c r="AC22" s="17" t="str">
        <f ca="1">IFERROR(__xludf.DUMMYFUNCTION("""COMPUTED_VALUE"""),"Orthopaedic")</f>
        <v>Orthopaedic</v>
      </c>
      <c r="AD22" s="7"/>
      <c r="AE22" s="7"/>
      <c r="AF22" s="7"/>
      <c r="AG22" s="7"/>
    </row>
    <row r="23" spans="1:33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 t="str">
        <f t="shared" si="0"/>
        <v/>
      </c>
      <c r="O23" s="7"/>
      <c r="P23" s="7"/>
      <c r="Q23" s="12"/>
      <c r="R23" s="7"/>
      <c r="S23" s="23"/>
      <c r="T23" s="14"/>
      <c r="U23" s="14"/>
      <c r="V23" s="14"/>
      <c r="W23" s="14"/>
      <c r="X23" s="14"/>
      <c r="Y23" s="14"/>
      <c r="Z23" s="14"/>
      <c r="AA23" s="24" t="str">
        <f ca="1">IFERROR(__xludf.DUMMYFUNCTION("""COMPUTED_VALUE"""),"5.01.Autonomy")</f>
        <v>5.01.Autonomy</v>
      </c>
      <c r="AB23" s="7"/>
      <c r="AC23" s="20" t="str">
        <f ca="1">IFERROR(__xludf.DUMMYFUNCTION("""COMPUTED_VALUE"""),"Pathology")</f>
        <v>Pathology</v>
      </c>
      <c r="AD23" s="7"/>
      <c r="AE23" s="7"/>
      <c r="AF23" s="7"/>
      <c r="AG23" s="7"/>
    </row>
    <row r="24" spans="1:33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 t="str">
        <f t="shared" si="0"/>
        <v/>
      </c>
      <c r="O24" s="7"/>
      <c r="P24" s="7"/>
      <c r="Q24" s="12"/>
      <c r="R24" s="7"/>
      <c r="S24" s="13" t="str">
        <f ca="1">IFERROR(__xludf.DUMMYFUNCTION("""COMPUTED_VALUE"""),"2")</f>
        <v>2</v>
      </c>
      <c r="T24" s="14"/>
      <c r="U24" s="14"/>
      <c r="V24" s="14"/>
      <c r="W24" s="14"/>
      <c r="X24" s="14"/>
      <c r="Y24" s="14"/>
      <c r="Z24" s="14"/>
      <c r="AA24" s="24" t="str">
        <f ca="1">IFERROR(__xludf.DUMMYFUNCTION("""COMPUTED_VALUE"""),"5.02.Responsibility")</f>
        <v>5.02.Responsibility</v>
      </c>
      <c r="AB24" s="7"/>
      <c r="AC24" s="20" t="str">
        <f ca="1">IFERROR(__xludf.DUMMYFUNCTION("""COMPUTED_VALUE"""),"PCC Related")</f>
        <v>PCC Related</v>
      </c>
      <c r="AD24" s="7"/>
      <c r="AE24" s="7"/>
      <c r="AF24" s="7"/>
      <c r="AG24" s="7"/>
    </row>
    <row r="25" spans="1:33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 t="str">
        <f t="shared" si="0"/>
        <v/>
      </c>
      <c r="O25" s="7"/>
      <c r="P25" s="7"/>
      <c r="Q25" s="12"/>
      <c r="R25" s="7"/>
      <c r="S25" s="13" t="str">
        <f ca="1">IFERROR(__xludf.DUMMYFUNCTION("""COMPUTED_VALUE"""),"2.1")</f>
        <v>2.1</v>
      </c>
      <c r="T25" s="14"/>
      <c r="U25" s="14"/>
      <c r="V25" s="14"/>
      <c r="W25" s="14"/>
      <c r="X25" s="14"/>
      <c r="Y25" s="14"/>
      <c r="Z25" s="14"/>
      <c r="AA25" s="24" t="str">
        <f ca="1">IFERROR(__xludf.DUMMYFUNCTION("""COMPUTED_VALUE"""),"5.03.Maintaining Patient Safety")</f>
        <v>5.03.Maintaining Patient Safety</v>
      </c>
      <c r="AB25" s="7"/>
      <c r="AC25" s="20" t="str">
        <f ca="1">IFERROR(__xludf.DUMMYFUNCTION("""COMPUTED_VALUE"""),"Pediatric")</f>
        <v>Pediatric</v>
      </c>
      <c r="AD25" s="7"/>
      <c r="AE25" s="7"/>
      <c r="AF25" s="7"/>
      <c r="AG25" s="7"/>
    </row>
    <row r="26" spans="1:33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 t="str">
        <f t="shared" si="0"/>
        <v/>
      </c>
      <c r="O26" s="7"/>
      <c r="P26" s="7"/>
      <c r="Q26" s="12"/>
      <c r="R26" s="7"/>
      <c r="S26" s="13" t="str">
        <f ca="1">IFERROR(__xludf.DUMMYFUNCTION("""COMPUTED_VALUE"""),"2.2")</f>
        <v>2.2</v>
      </c>
      <c r="T26" s="14"/>
      <c r="U26" s="14"/>
      <c r="V26" s="14"/>
      <c r="W26" s="14"/>
      <c r="X26" s="14"/>
      <c r="Y26" s="14"/>
      <c r="Z26" s="14"/>
      <c r="AA26" s="24" t="str">
        <f ca="1">IFERROR(__xludf.DUMMYFUNCTION("""COMPUTED_VALUE"""),"5.04.Situational Judgment (Ethical &amp; Legal)")</f>
        <v>5.04.Situational Judgment (Ethical &amp; Legal)</v>
      </c>
      <c r="AB26" s="7"/>
      <c r="AC26" s="17" t="str">
        <f ca="1">IFERROR(__xludf.DUMMYFUNCTION("""COMPUTED_VALUE"""),"Pharmacology")</f>
        <v>Pharmacology</v>
      </c>
      <c r="AD26" s="7"/>
      <c r="AE26" s="7"/>
      <c r="AF26" s="7"/>
      <c r="AG26" s="7"/>
    </row>
    <row r="27" spans="1:3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 t="str">
        <f t="shared" si="0"/>
        <v/>
      </c>
      <c r="O27" s="7"/>
      <c r="P27" s="7"/>
      <c r="Q27" s="12"/>
      <c r="R27" s="7"/>
      <c r="S27" s="13" t="str">
        <f ca="1">IFERROR(__xludf.DUMMYFUNCTION("""COMPUTED_VALUE"""),"2.3")</f>
        <v>2.3</v>
      </c>
      <c r="T27" s="14"/>
      <c r="U27" s="14"/>
      <c r="V27" s="14"/>
      <c r="W27" s="14"/>
      <c r="X27" s="14"/>
      <c r="Y27" s="14"/>
      <c r="Z27" s="14"/>
      <c r="AA27" s="24" t="str">
        <f ca="1">IFERROR(__xludf.DUMMYFUNCTION("""COMPUTED_VALUE"""),"5.05.Leadership")</f>
        <v>5.05.Leadership</v>
      </c>
      <c r="AB27" s="7"/>
      <c r="AC27" s="20" t="str">
        <f ca="1">IFERROR(__xludf.DUMMYFUNCTION("""COMPUTED_VALUE"""),"Physiology")</f>
        <v>Physiology</v>
      </c>
      <c r="AD27" s="7"/>
      <c r="AE27" s="7"/>
      <c r="AF27" s="7"/>
      <c r="AG27" s="7"/>
    </row>
    <row r="28" spans="1:33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 t="str">
        <f t="shared" si="0"/>
        <v/>
      </c>
      <c r="O28" s="7"/>
      <c r="P28" s="7"/>
      <c r="Q28" s="12"/>
      <c r="R28" s="7"/>
      <c r="S28" s="13" t="str">
        <f ca="1">IFERROR(__xludf.DUMMYFUNCTION("""COMPUTED_VALUE"""),"2.4")</f>
        <v>2.4</v>
      </c>
      <c r="T28" s="14"/>
      <c r="U28" s="14"/>
      <c r="V28" s="14"/>
      <c r="W28" s="14"/>
      <c r="X28" s="14"/>
      <c r="Y28" s="14"/>
      <c r="Z28" s="14"/>
      <c r="AA28" s="24"/>
      <c r="AB28" s="7"/>
      <c r="AC28" s="20" t="str">
        <f ca="1">IFERROR(__xludf.DUMMYFUNCTION("""COMPUTED_VALUE"""),"Prophetic Medicine")</f>
        <v>Prophetic Medicine</v>
      </c>
      <c r="AD28" s="7"/>
      <c r="AE28" s="7"/>
      <c r="AF28" s="7"/>
      <c r="AG28" s="7"/>
    </row>
    <row r="29" spans="1:33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 t="str">
        <f t="shared" si="0"/>
        <v/>
      </c>
      <c r="O29" s="7"/>
      <c r="P29" s="7"/>
      <c r="Q29" s="12"/>
      <c r="R29" s="7"/>
      <c r="S29" s="13" t="str">
        <f ca="1">IFERROR(__xludf.DUMMYFUNCTION("""COMPUTED_VALUE"""),"2.5")</f>
        <v>2.5</v>
      </c>
      <c r="T29" s="14"/>
      <c r="U29" s="14"/>
      <c r="V29" s="14"/>
      <c r="W29" s="14"/>
      <c r="X29" s="14"/>
      <c r="Y29" s="14"/>
      <c r="Z29" s="14"/>
      <c r="AA29" s="24"/>
      <c r="AB29" s="7"/>
      <c r="AC29" s="20" t="str">
        <f ca="1">IFERROR(__xludf.DUMMYFUNCTION("""COMPUTED_VALUE"""),"Psychiatry")</f>
        <v>Psychiatry</v>
      </c>
      <c r="AD29" s="7"/>
      <c r="AE29" s="7"/>
      <c r="AF29" s="7"/>
      <c r="AG29" s="7"/>
    </row>
    <row r="30" spans="1:33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 t="str">
        <f t="shared" si="0"/>
        <v/>
      </c>
      <c r="O30" s="7"/>
      <c r="P30" s="7"/>
      <c r="Q30" s="12"/>
      <c r="R30" s="7"/>
      <c r="S30" s="13" t="str">
        <f ca="1">IFERROR(__xludf.DUMMYFUNCTION("""COMPUTED_VALUE"""),"2.6")</f>
        <v>2.6</v>
      </c>
      <c r="T30" s="14"/>
      <c r="U30" s="14"/>
      <c r="V30" s="14"/>
      <c r="W30" s="14"/>
      <c r="X30" s="14"/>
      <c r="Y30" s="14"/>
      <c r="Z30" s="14"/>
      <c r="AA30" s="24"/>
      <c r="AB30" s="7"/>
      <c r="AC30" s="20" t="str">
        <f ca="1">IFERROR(__xludf.DUMMYFUNCTION("""COMPUTED_VALUE"""),"Radiology")</f>
        <v>Radiology</v>
      </c>
      <c r="AD30" s="7"/>
      <c r="AE30" s="7"/>
      <c r="AF30" s="7"/>
      <c r="AG30" s="7"/>
    </row>
    <row r="31" spans="1:33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 t="str">
        <f t="shared" si="0"/>
        <v/>
      </c>
      <c r="O31" s="7"/>
      <c r="P31" s="7"/>
      <c r="Q31" s="12"/>
      <c r="R31" s="7"/>
      <c r="S31" s="13" t="str">
        <f ca="1">IFERROR(__xludf.DUMMYFUNCTION("""COMPUTED_VALUE"""),"2.7")</f>
        <v>2.7</v>
      </c>
      <c r="T31" s="14"/>
      <c r="U31" s="14"/>
      <c r="V31" s="14"/>
      <c r="W31" s="14"/>
      <c r="X31" s="14"/>
      <c r="Y31" s="14"/>
      <c r="Z31" s="14"/>
      <c r="AA31" s="24"/>
      <c r="AB31" s="7"/>
      <c r="AC31" s="20" t="str">
        <f ca="1">IFERROR(__xludf.DUMMYFUNCTION("""COMPUTED_VALUE"""),"Rheumatology")</f>
        <v>Rheumatology</v>
      </c>
      <c r="AD31" s="7"/>
      <c r="AE31" s="7"/>
      <c r="AF31" s="7"/>
      <c r="AG31" s="7"/>
    </row>
    <row r="32" spans="1:33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 t="str">
        <f t="shared" si="0"/>
        <v/>
      </c>
      <c r="O32" s="7"/>
      <c r="P32" s="7"/>
      <c r="Q32" s="12"/>
      <c r="R32" s="7"/>
      <c r="S32" s="25" t="str">
        <f ca="1">IFERROR(__xludf.DUMMYFUNCTION("""COMPUTED_VALUE"""),"2.8")</f>
        <v>2.8</v>
      </c>
      <c r="T32" s="7"/>
      <c r="U32" s="7"/>
      <c r="V32" s="7"/>
      <c r="W32" s="7"/>
      <c r="X32" s="7"/>
      <c r="Y32" s="7"/>
      <c r="Z32" s="7"/>
      <c r="AA32" s="26"/>
      <c r="AB32" s="7"/>
      <c r="AC32" s="20" t="str">
        <f ca="1">IFERROR(__xludf.DUMMYFUNCTION("""COMPUTED_VALUE"""),"Urology")</f>
        <v>Urology</v>
      </c>
      <c r="AD32" s="7"/>
      <c r="AE32" s="7"/>
      <c r="AF32" s="7"/>
      <c r="AG32" s="7"/>
    </row>
    <row r="33" spans="1:33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 t="str">
        <f t="shared" si="0"/>
        <v/>
      </c>
      <c r="O33" s="7"/>
      <c r="P33" s="7"/>
      <c r="Q33" s="12"/>
      <c r="R33" s="7"/>
      <c r="S33" s="25" t="str">
        <f ca="1">IFERROR(__xludf.DUMMYFUNCTION("""COMPUTED_VALUE"""),"2.9")</f>
        <v>2.9</v>
      </c>
      <c r="T33" s="7"/>
      <c r="U33" s="7"/>
      <c r="V33" s="7"/>
      <c r="W33" s="7"/>
      <c r="X33" s="7"/>
      <c r="Y33" s="7"/>
      <c r="Z33" s="7"/>
      <c r="AA33" s="26"/>
      <c r="AB33" s="7"/>
      <c r="AC33" s="20"/>
      <c r="AD33" s="7"/>
      <c r="AE33" s="7"/>
      <c r="AF33" s="7"/>
      <c r="AG33" s="7"/>
    </row>
    <row r="34" spans="1:33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 t="str">
        <f t="shared" si="0"/>
        <v/>
      </c>
      <c r="O34" s="7"/>
      <c r="P34" s="7"/>
      <c r="Q34" s="12"/>
      <c r="R34" s="7"/>
      <c r="S34" s="25" t="str">
        <f ca="1">IFERROR(__xludf.DUMMYFUNCTION("""COMPUTED_VALUE"""),"2.10")</f>
        <v>2.10</v>
      </c>
      <c r="T34" s="7"/>
      <c r="U34" s="7"/>
      <c r="V34" s="7"/>
      <c r="W34" s="7"/>
      <c r="X34" s="7"/>
      <c r="Y34" s="7"/>
      <c r="Z34" s="7"/>
      <c r="AA34" s="26"/>
      <c r="AB34" s="7"/>
      <c r="AC34" s="7"/>
      <c r="AD34" s="7"/>
      <c r="AE34" s="7"/>
      <c r="AF34" s="7"/>
      <c r="AG34" s="7"/>
    </row>
    <row r="35" spans="1:33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 t="str">
        <f t="shared" si="0"/>
        <v/>
      </c>
      <c r="O35" s="7"/>
      <c r="P35" s="7"/>
      <c r="Q35" s="12"/>
      <c r="R35" s="7"/>
      <c r="S35" s="25" t="str">
        <f ca="1">IFERROR(__xludf.DUMMYFUNCTION("""COMPUTED_VALUE"""),"2.11")</f>
        <v>2.11</v>
      </c>
      <c r="T35" s="7"/>
      <c r="U35" s="7"/>
      <c r="V35" s="7"/>
      <c r="W35" s="7"/>
      <c r="X35" s="7"/>
      <c r="Y35" s="7"/>
      <c r="Z35" s="7"/>
      <c r="AA35" s="26"/>
      <c r="AB35" s="7"/>
      <c r="AC35" s="7"/>
      <c r="AD35" s="7"/>
      <c r="AE35" s="7"/>
      <c r="AF35" s="7"/>
      <c r="AG35" s="7"/>
    </row>
    <row r="36" spans="1:33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 t="str">
        <f t="shared" si="0"/>
        <v/>
      </c>
      <c r="O36" s="7"/>
      <c r="P36" s="7"/>
      <c r="Q36" s="12"/>
      <c r="R36" s="7"/>
      <c r="S36" s="25" t="str">
        <f ca="1">IFERROR(__xludf.DUMMYFUNCTION("""COMPUTED_VALUE"""),"2.12")</f>
        <v>2.12</v>
      </c>
      <c r="T36" s="7"/>
      <c r="U36" s="7"/>
      <c r="V36" s="7"/>
      <c r="W36" s="7"/>
      <c r="X36" s="7"/>
      <c r="Y36" s="7"/>
      <c r="Z36" s="7"/>
      <c r="AA36" s="26"/>
      <c r="AB36" s="7"/>
      <c r="AC36" s="7"/>
      <c r="AD36" s="7"/>
      <c r="AE36" s="7"/>
      <c r="AF36" s="7"/>
      <c r="AG36" s="7"/>
    </row>
    <row r="37" spans="1:33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 t="str">
        <f t="shared" si="0"/>
        <v/>
      </c>
      <c r="O37" s="7"/>
      <c r="P37" s="7"/>
      <c r="Q37" s="12"/>
      <c r="R37" s="7"/>
      <c r="S37" s="25" t="str">
        <f ca="1">IFERROR(__xludf.DUMMYFUNCTION("""COMPUTED_VALUE"""),"2.13")</f>
        <v>2.13</v>
      </c>
      <c r="T37" s="7"/>
      <c r="U37" s="7"/>
      <c r="V37" s="7"/>
      <c r="W37" s="7"/>
      <c r="X37" s="7"/>
      <c r="Y37" s="7"/>
      <c r="Z37" s="7"/>
      <c r="AA37" s="26"/>
      <c r="AB37" s="7"/>
      <c r="AC37" s="7"/>
      <c r="AD37" s="7"/>
      <c r="AE37" s="7"/>
      <c r="AF37" s="7"/>
      <c r="AG37" s="7"/>
    </row>
    <row r="38" spans="1:33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 t="str">
        <f t="shared" si="0"/>
        <v/>
      </c>
      <c r="O38" s="7"/>
      <c r="P38" s="7"/>
      <c r="Q38" s="12"/>
      <c r="R38" s="7"/>
      <c r="S38" s="25" t="str">
        <f ca="1">IFERROR(__xludf.DUMMYFUNCTION("""COMPUTED_VALUE"""),"2.14")</f>
        <v>2.14</v>
      </c>
      <c r="T38" s="7"/>
      <c r="U38" s="7"/>
      <c r="V38" s="7"/>
      <c r="W38" s="7"/>
      <c r="X38" s="7"/>
      <c r="Y38" s="7"/>
      <c r="Z38" s="7"/>
      <c r="AA38" s="26"/>
      <c r="AB38" s="7"/>
      <c r="AC38" s="7"/>
      <c r="AD38" s="7"/>
      <c r="AE38" s="7"/>
      <c r="AF38" s="7"/>
      <c r="AG38" s="7"/>
    </row>
    <row r="39" spans="1:33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 t="str">
        <f t="shared" si="0"/>
        <v/>
      </c>
      <c r="O39" s="7"/>
      <c r="P39" s="7"/>
      <c r="Q39" s="12"/>
      <c r="R39" s="7"/>
      <c r="S39" s="25" t="str">
        <f ca="1">IFERROR(__xludf.DUMMYFUNCTION("""COMPUTED_VALUE"""),"2.15")</f>
        <v>2.15</v>
      </c>
      <c r="T39" s="7"/>
      <c r="U39" s="7"/>
      <c r="V39" s="7"/>
      <c r="W39" s="7"/>
      <c r="X39" s="7"/>
      <c r="Y39" s="7"/>
      <c r="Z39" s="7"/>
      <c r="AA39" s="26"/>
      <c r="AB39" s="7"/>
      <c r="AC39" s="7"/>
      <c r="AD39" s="7"/>
      <c r="AE39" s="7"/>
      <c r="AF39" s="7"/>
      <c r="AG39" s="7"/>
    </row>
    <row r="40" spans="1:33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 t="str">
        <f t="shared" si="0"/>
        <v/>
      </c>
      <c r="O40" s="7"/>
      <c r="P40" s="7"/>
      <c r="Q40" s="12"/>
      <c r="R40" s="7"/>
      <c r="S40" s="12"/>
      <c r="T40" s="7"/>
      <c r="U40" s="7"/>
      <c r="V40" s="7"/>
      <c r="W40" s="7"/>
      <c r="X40" s="7"/>
      <c r="Y40" s="7"/>
      <c r="Z40" s="7"/>
      <c r="AA40" s="26"/>
      <c r="AB40" s="7"/>
      <c r="AC40" s="7"/>
      <c r="AD40" s="7"/>
      <c r="AE40" s="7"/>
      <c r="AF40" s="7"/>
      <c r="AG40" s="7"/>
    </row>
    <row r="41" spans="1:33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 t="str">
        <f t="shared" si="0"/>
        <v/>
      </c>
      <c r="O41" s="7"/>
      <c r="P41" s="7"/>
      <c r="Q41" s="12"/>
      <c r="R41" s="7"/>
      <c r="S41" s="12"/>
      <c r="T41" s="7"/>
      <c r="U41" s="7"/>
      <c r="V41" s="7"/>
      <c r="W41" s="7"/>
      <c r="X41" s="7"/>
      <c r="Y41" s="7"/>
      <c r="Z41" s="7"/>
      <c r="AA41" s="26"/>
      <c r="AB41" s="7"/>
      <c r="AC41" s="7"/>
      <c r="AD41" s="7"/>
      <c r="AE41" s="7"/>
      <c r="AF41" s="7"/>
      <c r="AG41" s="7"/>
    </row>
    <row r="42" spans="1:33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 t="str">
        <f t="shared" si="0"/>
        <v/>
      </c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26"/>
      <c r="AB42" s="7"/>
      <c r="AC42" s="7"/>
      <c r="AD42" s="7"/>
      <c r="AE42" s="7"/>
      <c r="AF42" s="7"/>
      <c r="AG42" s="7"/>
    </row>
    <row r="43" spans="1:33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 t="str">
        <f t="shared" si="0"/>
        <v/>
      </c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26"/>
      <c r="AB43" s="7"/>
      <c r="AC43" s="7"/>
      <c r="AD43" s="7"/>
      <c r="AE43" s="7"/>
      <c r="AF43" s="7"/>
      <c r="AG43" s="7"/>
    </row>
    <row r="44" spans="1:33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 t="str">
        <f t="shared" si="0"/>
        <v/>
      </c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26"/>
      <c r="AB44" s="7"/>
      <c r="AC44" s="7"/>
      <c r="AD44" s="7"/>
      <c r="AE44" s="7"/>
      <c r="AF44" s="7"/>
      <c r="AG44" s="7"/>
    </row>
    <row r="45" spans="1:33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 t="str">
        <f t="shared" si="0"/>
        <v/>
      </c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26"/>
      <c r="AB45" s="7"/>
      <c r="AC45" s="7"/>
      <c r="AD45" s="7"/>
      <c r="AE45" s="7"/>
      <c r="AF45" s="7"/>
      <c r="AG45" s="7"/>
    </row>
    <row r="46" spans="1:33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 t="str">
        <f t="shared" si="0"/>
        <v/>
      </c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26"/>
      <c r="AB46" s="7"/>
      <c r="AC46" s="7"/>
      <c r="AD46" s="7"/>
      <c r="AE46" s="7"/>
      <c r="AF46" s="7"/>
      <c r="AG46" s="7"/>
    </row>
    <row r="47" spans="1:33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 t="str">
        <f t="shared" si="0"/>
        <v/>
      </c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26"/>
      <c r="AB47" s="7"/>
      <c r="AC47" s="7"/>
      <c r="AD47" s="7"/>
      <c r="AE47" s="7"/>
      <c r="AF47" s="7"/>
      <c r="AG47" s="7"/>
    </row>
    <row r="48" spans="1:33" x14ac:dyDescent="0.25">
      <c r="A48" s="7"/>
      <c r="B48" s="7"/>
      <c r="C48" s="7" t="e">
        <f t="array" ref="C48">TRANSPOSE('[2]Form Responses OSCE Station 2'!N2:BC2)</f>
        <v>#REF!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 t="e">
        <f t="shared" si="0"/>
        <v>#REF!</v>
      </c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26"/>
      <c r="AB48" s="7"/>
      <c r="AC48" s="7"/>
      <c r="AD48" s="7"/>
      <c r="AE48" s="7"/>
      <c r="AF48" s="7"/>
      <c r="AG48" s="7"/>
    </row>
    <row r="49" spans="1:33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 t="str">
        <f t="shared" si="0"/>
        <v/>
      </c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26"/>
      <c r="AB49" s="7"/>
      <c r="AC49" s="7"/>
      <c r="AD49" s="7"/>
      <c r="AE49" s="7"/>
      <c r="AF49" s="7"/>
      <c r="AG49" s="7"/>
    </row>
    <row r="50" spans="1:33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 t="str">
        <f t="shared" si="0"/>
        <v/>
      </c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26"/>
      <c r="AB50" s="7"/>
      <c r="AC50" s="7"/>
      <c r="AD50" s="7"/>
      <c r="AE50" s="7"/>
      <c r="AF50" s="7"/>
      <c r="AG50" s="7"/>
    </row>
    <row r="51" spans="1:33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 t="str">
        <f t="shared" si="0"/>
        <v/>
      </c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26"/>
      <c r="AB51" s="7"/>
      <c r="AC51" s="7"/>
      <c r="AD51" s="7"/>
      <c r="AE51" s="7"/>
      <c r="AF51" s="7"/>
      <c r="AG51" s="7"/>
    </row>
    <row r="52" spans="1:33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 t="str">
        <f t="shared" si="0"/>
        <v/>
      </c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26"/>
      <c r="AB52" s="7"/>
      <c r="AC52" s="7"/>
      <c r="AD52" s="7"/>
      <c r="AE52" s="7"/>
      <c r="AF52" s="7"/>
      <c r="AG52" s="7"/>
    </row>
    <row r="53" spans="1:33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 t="str">
        <f t="shared" si="0"/>
        <v/>
      </c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26"/>
      <c r="AB53" s="7"/>
      <c r="AC53" s="7"/>
      <c r="AD53" s="7"/>
      <c r="AE53" s="7"/>
      <c r="AF53" s="7"/>
      <c r="AG53" s="7"/>
    </row>
    <row r="54" spans="1:33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 t="str">
        <f t="shared" si="0"/>
        <v/>
      </c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26"/>
      <c r="AB54" s="7"/>
      <c r="AC54" s="7"/>
      <c r="AD54" s="7"/>
      <c r="AE54" s="7"/>
      <c r="AF54" s="7"/>
      <c r="AG54" s="7"/>
    </row>
    <row r="55" spans="1:33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 t="str">
        <f t="shared" si="0"/>
        <v/>
      </c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26"/>
      <c r="AB55" s="7"/>
      <c r="AC55" s="7"/>
      <c r="AD55" s="7"/>
      <c r="AE55" s="7"/>
      <c r="AF55" s="7"/>
      <c r="AG55" s="7"/>
    </row>
    <row r="56" spans="1:33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 t="str">
        <f t="shared" si="0"/>
        <v/>
      </c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26"/>
      <c r="AB56" s="7"/>
      <c r="AC56" s="7"/>
      <c r="AD56" s="7"/>
      <c r="AE56" s="7"/>
      <c r="AF56" s="7"/>
      <c r="AG56" s="7"/>
    </row>
    <row r="57" spans="1:33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 t="str">
        <f t="shared" si="0"/>
        <v/>
      </c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26"/>
      <c r="AB57" s="7"/>
      <c r="AC57" s="7"/>
      <c r="AD57" s="7"/>
      <c r="AE57" s="7"/>
      <c r="AF57" s="7"/>
      <c r="AG57" s="7"/>
    </row>
    <row r="58" spans="1:33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 t="str">
        <f t="shared" si="0"/>
        <v/>
      </c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26"/>
      <c r="AB58" s="7"/>
      <c r="AC58" s="7"/>
      <c r="AD58" s="7"/>
      <c r="AE58" s="7"/>
      <c r="AF58" s="7"/>
      <c r="AG58" s="7"/>
    </row>
    <row r="59" spans="1:33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 t="str">
        <f t="shared" si="0"/>
        <v/>
      </c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26"/>
      <c r="AB59" s="7"/>
      <c r="AC59" s="7"/>
      <c r="AD59" s="7"/>
      <c r="AE59" s="7"/>
      <c r="AF59" s="7"/>
      <c r="AG59" s="7"/>
    </row>
    <row r="60" spans="1:33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 t="str">
        <f t="shared" si="0"/>
        <v/>
      </c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26"/>
      <c r="AB60" s="7"/>
      <c r="AC60" s="7"/>
      <c r="AD60" s="7"/>
      <c r="AE60" s="7"/>
      <c r="AF60" s="7"/>
      <c r="AG60" s="7"/>
    </row>
    <row r="61" spans="1:33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 t="str">
        <f t="shared" si="0"/>
        <v/>
      </c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26"/>
      <c r="AB61" s="7"/>
      <c r="AC61" s="7"/>
      <c r="AD61" s="7"/>
      <c r="AE61" s="7"/>
      <c r="AF61" s="7"/>
      <c r="AG61" s="7"/>
    </row>
    <row r="62" spans="1:33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 t="str">
        <f t="shared" si="0"/>
        <v/>
      </c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26"/>
      <c r="AB62" s="7"/>
      <c r="AC62" s="7"/>
      <c r="AD62" s="7"/>
      <c r="AE62" s="7"/>
      <c r="AF62" s="7"/>
      <c r="AG62" s="7"/>
    </row>
    <row r="63" spans="1:33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 t="str">
        <f t="shared" si="0"/>
        <v/>
      </c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26"/>
      <c r="AB63" s="7"/>
      <c r="AC63" s="7"/>
      <c r="AD63" s="7"/>
      <c r="AE63" s="7"/>
      <c r="AF63" s="7"/>
      <c r="AG63" s="7"/>
    </row>
    <row r="64" spans="1:33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 t="str">
        <f t="shared" si="0"/>
        <v/>
      </c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26"/>
      <c r="AB64" s="7"/>
      <c r="AC64" s="7"/>
      <c r="AD64" s="7"/>
      <c r="AE64" s="7"/>
      <c r="AF64" s="7"/>
      <c r="AG64" s="7"/>
    </row>
    <row r="65" spans="1:33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 t="str">
        <f t="shared" si="0"/>
        <v/>
      </c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26"/>
      <c r="AB65" s="7"/>
      <c r="AC65" s="7"/>
      <c r="AD65" s="7"/>
      <c r="AE65" s="7"/>
      <c r="AF65" s="7"/>
      <c r="AG65" s="7"/>
    </row>
    <row r="66" spans="1:33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 t="str">
        <f t="shared" si="0"/>
        <v/>
      </c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26"/>
      <c r="AB66" s="7"/>
      <c r="AC66" s="7"/>
      <c r="AD66" s="7"/>
      <c r="AE66" s="7"/>
      <c r="AF66" s="7"/>
      <c r="AG66" s="7"/>
    </row>
    <row r="67" spans="1:33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 t="str">
        <f t="shared" si="0"/>
        <v/>
      </c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26"/>
      <c r="AB67" s="7"/>
      <c r="AC67" s="7"/>
      <c r="AD67" s="7"/>
      <c r="AE67" s="7"/>
      <c r="AF67" s="7"/>
      <c r="AG67" s="7"/>
    </row>
    <row r="68" spans="1:33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 t="str">
        <f t="shared" si="0"/>
        <v/>
      </c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26"/>
      <c r="AB68" s="7"/>
      <c r="AC68" s="7"/>
      <c r="AD68" s="7"/>
      <c r="AE68" s="7"/>
      <c r="AF68" s="7"/>
      <c r="AG68" s="7"/>
    </row>
    <row r="69" spans="1:33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 t="str">
        <f t="shared" si="0"/>
        <v/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26"/>
      <c r="AB69" s="7"/>
      <c r="AC69" s="7"/>
      <c r="AD69" s="7"/>
      <c r="AE69" s="7"/>
      <c r="AF69" s="7"/>
      <c r="AG69" s="7"/>
    </row>
    <row r="70" spans="1:33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 t="str">
        <f t="shared" si="0"/>
        <v/>
      </c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26"/>
      <c r="AB70" s="7"/>
      <c r="AC70" s="7"/>
      <c r="AD70" s="7"/>
      <c r="AE70" s="7"/>
      <c r="AF70" s="7"/>
      <c r="AG70" s="7"/>
    </row>
    <row r="71" spans="1:33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 t="str">
        <f t="shared" si="0"/>
        <v/>
      </c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26"/>
      <c r="AB71" s="7"/>
      <c r="AC71" s="7"/>
      <c r="AD71" s="7"/>
      <c r="AE71" s="7"/>
      <c r="AF71" s="7"/>
      <c r="AG71" s="7"/>
    </row>
    <row r="72" spans="1:33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 t="str">
        <f t="shared" si="0"/>
        <v/>
      </c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26"/>
      <c r="AB72" s="7"/>
      <c r="AC72" s="7"/>
      <c r="AD72" s="7"/>
      <c r="AE72" s="7"/>
      <c r="AF72" s="7"/>
      <c r="AG72" s="7"/>
    </row>
    <row r="73" spans="1:33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 t="str">
        <f t="shared" si="0"/>
        <v/>
      </c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26"/>
      <c r="AB73" s="7"/>
      <c r="AC73" s="7"/>
      <c r="AD73" s="7"/>
      <c r="AE73" s="7"/>
      <c r="AF73" s="7"/>
      <c r="AG73" s="7"/>
    </row>
    <row r="74" spans="1:33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 t="str">
        <f t="shared" si="0"/>
        <v/>
      </c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26"/>
      <c r="AB74" s="7"/>
      <c r="AC74" s="7"/>
      <c r="AD74" s="7"/>
      <c r="AE74" s="7"/>
      <c r="AF74" s="7"/>
      <c r="AG74" s="7"/>
    </row>
    <row r="75" spans="1:33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 t="str">
        <f t="shared" si="0"/>
        <v/>
      </c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26"/>
      <c r="AB75" s="7"/>
      <c r="AC75" s="7"/>
      <c r="AD75" s="7"/>
      <c r="AE75" s="7"/>
      <c r="AF75" s="7"/>
      <c r="AG75" s="7"/>
    </row>
    <row r="76" spans="1:33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 t="str">
        <f t="shared" si="0"/>
        <v/>
      </c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26"/>
      <c r="AB76" s="7"/>
      <c r="AC76" s="7"/>
      <c r="AD76" s="7"/>
      <c r="AE76" s="7"/>
      <c r="AF76" s="7"/>
      <c r="AG76" s="7"/>
    </row>
    <row r="77" spans="1:33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 t="str">
        <f t="shared" si="0"/>
        <v/>
      </c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26"/>
      <c r="AB77" s="7"/>
      <c r="AC77" s="7"/>
      <c r="AD77" s="7"/>
      <c r="AE77" s="7"/>
      <c r="AF77" s="7"/>
      <c r="AG77" s="7"/>
    </row>
    <row r="78" spans="1:33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 t="str">
        <f t="shared" si="0"/>
        <v/>
      </c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26"/>
      <c r="AB78" s="7"/>
      <c r="AC78" s="7"/>
      <c r="AD78" s="7"/>
      <c r="AE78" s="7"/>
      <c r="AF78" s="7"/>
      <c r="AG78" s="7"/>
    </row>
    <row r="79" spans="1:33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 t="str">
        <f t="shared" si="0"/>
        <v/>
      </c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26"/>
      <c r="AB79" s="7"/>
      <c r="AC79" s="7"/>
      <c r="AD79" s="7"/>
      <c r="AE79" s="7"/>
      <c r="AF79" s="7"/>
      <c r="AG79" s="7"/>
    </row>
    <row r="80" spans="1:33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 t="str">
        <f t="shared" si="0"/>
        <v/>
      </c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26"/>
      <c r="AB80" s="7"/>
      <c r="AC80" s="7"/>
      <c r="AD80" s="7"/>
      <c r="AE80" s="7"/>
      <c r="AF80" s="7"/>
      <c r="AG80" s="7"/>
    </row>
    <row r="81" spans="1:33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 t="str">
        <f t="shared" si="0"/>
        <v/>
      </c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26"/>
      <c r="AB81" s="7"/>
      <c r="AC81" s="7"/>
      <c r="AD81" s="7"/>
      <c r="AE81" s="7"/>
      <c r="AF81" s="7"/>
      <c r="AG81" s="7"/>
    </row>
    <row r="82" spans="1:33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 t="str">
        <f t="shared" si="0"/>
        <v/>
      </c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26"/>
      <c r="AB82" s="7"/>
      <c r="AC82" s="7"/>
      <c r="AD82" s="7"/>
      <c r="AE82" s="7"/>
      <c r="AF82" s="7"/>
      <c r="AG82" s="7"/>
    </row>
    <row r="83" spans="1:33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 t="str">
        <f t="shared" si="0"/>
        <v/>
      </c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26"/>
      <c r="AB83" s="7"/>
      <c r="AC83" s="7"/>
      <c r="AD83" s="7"/>
      <c r="AE83" s="7"/>
      <c r="AF83" s="7"/>
      <c r="AG83" s="7"/>
    </row>
    <row r="84" spans="1:33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 t="str">
        <f t="shared" si="0"/>
        <v/>
      </c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26"/>
      <c r="AB84" s="7"/>
      <c r="AC84" s="7"/>
      <c r="AD84" s="7"/>
      <c r="AE84" s="7"/>
      <c r="AF84" s="7"/>
      <c r="AG84" s="7"/>
    </row>
    <row r="85" spans="1:33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 t="str">
        <f t="shared" si="0"/>
        <v/>
      </c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26"/>
      <c r="AB85" s="7"/>
      <c r="AC85" s="7"/>
      <c r="AD85" s="7"/>
      <c r="AE85" s="7"/>
      <c r="AF85" s="7"/>
      <c r="AG85" s="7"/>
    </row>
    <row r="86" spans="1:33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 t="str">
        <f t="shared" si="0"/>
        <v/>
      </c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26"/>
      <c r="AB86" s="7"/>
      <c r="AC86" s="7"/>
      <c r="AD86" s="7"/>
      <c r="AE86" s="7"/>
      <c r="AF86" s="7"/>
      <c r="AG86" s="7"/>
    </row>
    <row r="87" spans="1:33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 t="str">
        <f t="shared" si="0"/>
        <v/>
      </c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26"/>
      <c r="AB87" s="7"/>
      <c r="AC87" s="7"/>
      <c r="AD87" s="7"/>
      <c r="AE87" s="7"/>
      <c r="AF87" s="7"/>
      <c r="AG87" s="7"/>
    </row>
    <row r="88" spans="1:33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 t="str">
        <f t="shared" si="0"/>
        <v/>
      </c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26"/>
      <c r="AB88" s="7"/>
      <c r="AC88" s="7"/>
      <c r="AD88" s="7"/>
      <c r="AE88" s="7"/>
      <c r="AF88" s="7"/>
      <c r="AG88" s="7"/>
    </row>
    <row r="89" spans="1:33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 t="str">
        <f t="shared" si="0"/>
        <v/>
      </c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26"/>
      <c r="AB89" s="7"/>
      <c r="AC89" s="7"/>
      <c r="AD89" s="7"/>
      <c r="AE89" s="7"/>
      <c r="AF89" s="7"/>
      <c r="AG89" s="7"/>
    </row>
    <row r="90" spans="1:33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 t="str">
        <f t="shared" si="0"/>
        <v/>
      </c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26"/>
      <c r="AB90" s="7"/>
      <c r="AC90" s="7"/>
      <c r="AD90" s="7"/>
      <c r="AE90" s="7"/>
      <c r="AF90" s="7"/>
      <c r="AG90" s="7"/>
    </row>
    <row r="91" spans="1:33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 t="str">
        <f t="shared" si="0"/>
        <v/>
      </c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26"/>
      <c r="AB91" s="7"/>
      <c r="AC91" s="7"/>
      <c r="AD91" s="7"/>
      <c r="AE91" s="7"/>
      <c r="AF91" s="7"/>
      <c r="AG91" s="7"/>
    </row>
    <row r="92" spans="1:33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 t="str">
        <f t="shared" si="0"/>
        <v/>
      </c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26"/>
      <c r="AB92" s="7"/>
      <c r="AC92" s="7"/>
      <c r="AD92" s="7"/>
      <c r="AE92" s="7"/>
      <c r="AF92" s="7"/>
      <c r="AG92" s="7"/>
    </row>
    <row r="93" spans="1:33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 t="str">
        <f t="shared" si="0"/>
        <v/>
      </c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26"/>
      <c r="AB93" s="7"/>
      <c r="AC93" s="7"/>
      <c r="AD93" s="7"/>
      <c r="AE93" s="7"/>
      <c r="AF93" s="7"/>
      <c r="AG93" s="7"/>
    </row>
    <row r="94" spans="1:33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 t="str">
        <f t="shared" si="0"/>
        <v/>
      </c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26"/>
      <c r="AB94" s="7"/>
      <c r="AC94" s="7"/>
      <c r="AD94" s="7"/>
      <c r="AE94" s="7"/>
      <c r="AF94" s="7"/>
      <c r="AG94" s="7"/>
    </row>
    <row r="95" spans="1:33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 t="str">
        <f t="shared" si="0"/>
        <v/>
      </c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26"/>
      <c r="AB95" s="7"/>
      <c r="AC95" s="7"/>
      <c r="AD95" s="7"/>
      <c r="AE95" s="7"/>
      <c r="AF95" s="7"/>
      <c r="AG95" s="7"/>
    </row>
    <row r="96" spans="1:33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 t="str">
        <f t="shared" si="0"/>
        <v/>
      </c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26"/>
      <c r="AB96" s="7"/>
      <c r="AC96" s="7"/>
      <c r="AD96" s="7"/>
      <c r="AE96" s="7"/>
      <c r="AF96" s="7"/>
      <c r="AG96" s="7"/>
    </row>
    <row r="97" spans="1:33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 t="str">
        <f t="shared" si="0"/>
        <v/>
      </c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26"/>
      <c r="AB97" s="7"/>
      <c r="AC97" s="7"/>
      <c r="AD97" s="7"/>
      <c r="AE97" s="7"/>
      <c r="AF97" s="7"/>
      <c r="AG97" s="7"/>
    </row>
    <row r="98" spans="1:33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 t="str">
        <f t="shared" si="0"/>
        <v/>
      </c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26"/>
      <c r="AB98" s="7"/>
      <c r="AC98" s="7"/>
      <c r="AD98" s="7"/>
      <c r="AE98" s="7"/>
      <c r="AF98" s="7"/>
      <c r="AG98" s="7"/>
    </row>
    <row r="99" spans="1:33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 t="str">
        <f t="shared" si="0"/>
        <v/>
      </c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26"/>
      <c r="AB99" s="7"/>
      <c r="AC99" s="7"/>
      <c r="AD99" s="7"/>
      <c r="AE99" s="7"/>
      <c r="AF99" s="7"/>
      <c r="AG99" s="7"/>
    </row>
    <row r="100" spans="1:33" x14ac:dyDescent="0.25">
      <c r="A100" s="7"/>
      <c r="B100" s="7"/>
      <c r="C100" s="7"/>
      <c r="D100" s="7" t="e">
        <f t="array" ref="D100">TRANSPOSE('[3]Form Responses OSCE Station 3'!N2:BC2)</f>
        <v>#REF!</v>
      </c>
      <c r="E100" s="7"/>
      <c r="F100" s="7"/>
      <c r="G100" s="7"/>
      <c r="H100" s="7"/>
      <c r="I100" s="7"/>
      <c r="J100" s="7"/>
      <c r="K100" s="7"/>
      <c r="L100" s="7"/>
      <c r="M100" s="7"/>
      <c r="N100" s="7" t="e">
        <f t="shared" si="0"/>
        <v>#REF!</v>
      </c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26"/>
      <c r="AB100" s="7"/>
      <c r="AC100" s="7"/>
      <c r="AD100" s="7"/>
      <c r="AE100" s="7"/>
      <c r="AF100" s="7"/>
      <c r="AG100" s="7"/>
    </row>
    <row r="101" spans="1:33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 t="str">
        <f t="shared" si="0"/>
        <v/>
      </c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26"/>
      <c r="AB101" s="7"/>
      <c r="AC101" s="7"/>
      <c r="AD101" s="7"/>
      <c r="AE101" s="7"/>
      <c r="AF101" s="7"/>
      <c r="AG101" s="7"/>
    </row>
    <row r="102" spans="1:33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 t="str">
        <f t="shared" si="0"/>
        <v/>
      </c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26"/>
      <c r="AB102" s="7"/>
      <c r="AC102" s="7"/>
      <c r="AD102" s="7"/>
      <c r="AE102" s="7"/>
      <c r="AF102" s="7"/>
      <c r="AG102" s="7"/>
    </row>
    <row r="103" spans="1:33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 t="str">
        <f t="shared" si="0"/>
        <v/>
      </c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26"/>
      <c r="AB103" s="7"/>
      <c r="AC103" s="7"/>
      <c r="AD103" s="7"/>
      <c r="AE103" s="7"/>
      <c r="AF103" s="7"/>
      <c r="AG103" s="7"/>
    </row>
    <row r="104" spans="1:33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 t="str">
        <f t="shared" si="0"/>
        <v/>
      </c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26"/>
      <c r="AB104" s="7"/>
      <c r="AC104" s="7"/>
      <c r="AD104" s="7"/>
      <c r="AE104" s="7"/>
      <c r="AF104" s="7"/>
      <c r="AG104" s="7"/>
    </row>
    <row r="105" spans="1:33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 t="str">
        <f t="shared" si="0"/>
        <v/>
      </c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26"/>
      <c r="AB105" s="7"/>
      <c r="AC105" s="7"/>
      <c r="AD105" s="7"/>
      <c r="AE105" s="7"/>
      <c r="AF105" s="7"/>
      <c r="AG105" s="7"/>
    </row>
    <row r="106" spans="1:33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 t="str">
        <f t="shared" si="0"/>
        <v/>
      </c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26"/>
      <c r="AB106" s="7"/>
      <c r="AC106" s="7"/>
      <c r="AD106" s="7"/>
      <c r="AE106" s="7"/>
      <c r="AF106" s="7"/>
      <c r="AG106" s="7"/>
    </row>
    <row r="107" spans="1:33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 t="str">
        <f t="shared" si="0"/>
        <v/>
      </c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26"/>
      <c r="AB107" s="7"/>
      <c r="AC107" s="7"/>
      <c r="AD107" s="7"/>
      <c r="AE107" s="7"/>
      <c r="AF107" s="7"/>
      <c r="AG107" s="7"/>
    </row>
    <row r="108" spans="1:33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 t="str">
        <f t="shared" si="0"/>
        <v/>
      </c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26"/>
      <c r="AB108" s="7"/>
      <c r="AC108" s="7"/>
      <c r="AD108" s="7"/>
      <c r="AE108" s="7"/>
      <c r="AF108" s="7"/>
      <c r="AG108" s="7"/>
    </row>
    <row r="109" spans="1:33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 t="str">
        <f t="shared" si="0"/>
        <v/>
      </c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26"/>
      <c r="AB109" s="7"/>
      <c r="AC109" s="7"/>
      <c r="AD109" s="7"/>
      <c r="AE109" s="7"/>
      <c r="AF109" s="7"/>
      <c r="AG109" s="7"/>
    </row>
    <row r="110" spans="1:33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 t="str">
        <f t="shared" si="0"/>
        <v/>
      </c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26"/>
      <c r="AB110" s="7"/>
      <c r="AC110" s="7"/>
      <c r="AD110" s="7"/>
      <c r="AE110" s="7"/>
      <c r="AF110" s="7"/>
      <c r="AG110" s="7"/>
    </row>
    <row r="111" spans="1:33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 t="str">
        <f t="shared" si="0"/>
        <v/>
      </c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26"/>
      <c r="AB111" s="7"/>
      <c r="AC111" s="7"/>
      <c r="AD111" s="7"/>
      <c r="AE111" s="7"/>
      <c r="AF111" s="7"/>
      <c r="AG111" s="7"/>
    </row>
    <row r="112" spans="1:33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 t="str">
        <f t="shared" si="0"/>
        <v/>
      </c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26"/>
      <c r="AB112" s="7"/>
      <c r="AC112" s="7"/>
      <c r="AD112" s="7"/>
      <c r="AE112" s="7"/>
      <c r="AF112" s="7"/>
      <c r="AG112" s="7"/>
    </row>
    <row r="113" spans="1:33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 t="str">
        <f t="shared" si="0"/>
        <v/>
      </c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26"/>
      <c r="AB113" s="7"/>
      <c r="AC113" s="7"/>
      <c r="AD113" s="7"/>
      <c r="AE113" s="7"/>
      <c r="AF113" s="7"/>
      <c r="AG113" s="7"/>
    </row>
    <row r="114" spans="1:33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 t="str">
        <f t="shared" si="0"/>
        <v/>
      </c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26"/>
      <c r="AB114" s="7"/>
      <c r="AC114" s="7"/>
      <c r="AD114" s="7"/>
      <c r="AE114" s="7"/>
      <c r="AF114" s="7"/>
      <c r="AG114" s="7"/>
    </row>
    <row r="115" spans="1:33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 t="str">
        <f t="shared" si="0"/>
        <v/>
      </c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26"/>
      <c r="AB115" s="7"/>
      <c r="AC115" s="7"/>
      <c r="AD115" s="7"/>
      <c r="AE115" s="7"/>
      <c r="AF115" s="7"/>
      <c r="AG115" s="7"/>
    </row>
    <row r="116" spans="1:33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 t="str">
        <f t="shared" si="0"/>
        <v/>
      </c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26"/>
      <c r="AB116" s="7"/>
      <c r="AC116" s="7"/>
      <c r="AD116" s="7"/>
      <c r="AE116" s="7"/>
      <c r="AF116" s="7"/>
      <c r="AG116" s="7"/>
    </row>
    <row r="117" spans="1:33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 t="str">
        <f t="shared" si="0"/>
        <v/>
      </c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26"/>
      <c r="AB117" s="7"/>
      <c r="AC117" s="7"/>
      <c r="AD117" s="7"/>
      <c r="AE117" s="7"/>
      <c r="AF117" s="7"/>
      <c r="AG117" s="7"/>
    </row>
    <row r="118" spans="1:33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 t="str">
        <f t="shared" si="0"/>
        <v/>
      </c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26"/>
      <c r="AB118" s="7"/>
      <c r="AC118" s="7"/>
      <c r="AD118" s="7"/>
      <c r="AE118" s="7"/>
      <c r="AF118" s="7"/>
      <c r="AG118" s="7"/>
    </row>
    <row r="119" spans="1:33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 t="str">
        <f t="shared" si="0"/>
        <v/>
      </c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26"/>
      <c r="AB119" s="7"/>
      <c r="AC119" s="7"/>
      <c r="AD119" s="7"/>
      <c r="AE119" s="7"/>
      <c r="AF119" s="7"/>
      <c r="AG119" s="7"/>
    </row>
    <row r="120" spans="1:33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 t="str">
        <f t="shared" si="0"/>
        <v/>
      </c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26"/>
      <c r="AB120" s="7"/>
      <c r="AC120" s="7"/>
      <c r="AD120" s="7"/>
      <c r="AE120" s="7"/>
      <c r="AF120" s="7"/>
      <c r="AG120" s="7"/>
    </row>
    <row r="121" spans="1:33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 t="str">
        <f t="shared" si="0"/>
        <v/>
      </c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26"/>
      <c r="AB121" s="7"/>
      <c r="AC121" s="7"/>
      <c r="AD121" s="7"/>
      <c r="AE121" s="7"/>
      <c r="AF121" s="7"/>
      <c r="AG121" s="7"/>
    </row>
    <row r="122" spans="1:33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 t="str">
        <f t="shared" si="0"/>
        <v/>
      </c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26"/>
      <c r="AB122" s="7"/>
      <c r="AC122" s="7"/>
      <c r="AD122" s="7"/>
      <c r="AE122" s="7"/>
      <c r="AF122" s="7"/>
      <c r="AG122" s="7"/>
    </row>
    <row r="123" spans="1:33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 t="str">
        <f t="shared" si="0"/>
        <v/>
      </c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26"/>
      <c r="AB123" s="7"/>
      <c r="AC123" s="7"/>
      <c r="AD123" s="7"/>
      <c r="AE123" s="7"/>
      <c r="AF123" s="7"/>
      <c r="AG123" s="7"/>
    </row>
    <row r="124" spans="1:33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 t="str">
        <f t="shared" si="0"/>
        <v/>
      </c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26"/>
      <c r="AB124" s="7"/>
      <c r="AC124" s="7"/>
      <c r="AD124" s="7"/>
      <c r="AE124" s="7"/>
      <c r="AF124" s="7"/>
      <c r="AG124" s="7"/>
    </row>
    <row r="125" spans="1:33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 t="str">
        <f t="shared" si="0"/>
        <v/>
      </c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26"/>
      <c r="AB125" s="7"/>
      <c r="AC125" s="7"/>
      <c r="AD125" s="7"/>
      <c r="AE125" s="7"/>
      <c r="AF125" s="7"/>
      <c r="AG125" s="7"/>
    </row>
    <row r="126" spans="1:33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 t="str">
        <f t="shared" si="0"/>
        <v/>
      </c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26"/>
      <c r="AB126" s="7"/>
      <c r="AC126" s="7"/>
      <c r="AD126" s="7"/>
      <c r="AE126" s="7"/>
      <c r="AF126" s="7"/>
      <c r="AG126" s="7"/>
    </row>
    <row r="127" spans="1:33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 t="str">
        <f t="shared" si="0"/>
        <v/>
      </c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26"/>
      <c r="AB127" s="7"/>
      <c r="AC127" s="7"/>
      <c r="AD127" s="7"/>
      <c r="AE127" s="7"/>
      <c r="AF127" s="7"/>
      <c r="AG127" s="7"/>
    </row>
    <row r="128" spans="1:33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 t="str">
        <f t="shared" si="0"/>
        <v/>
      </c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26"/>
      <c r="AB128" s="7"/>
      <c r="AC128" s="7"/>
      <c r="AD128" s="7"/>
      <c r="AE128" s="7"/>
      <c r="AF128" s="7"/>
      <c r="AG128" s="7"/>
    </row>
    <row r="129" spans="1:33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 t="str">
        <f t="shared" si="0"/>
        <v/>
      </c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26"/>
      <c r="AB129" s="7"/>
      <c r="AC129" s="7"/>
      <c r="AD129" s="7"/>
      <c r="AE129" s="7"/>
      <c r="AF129" s="7"/>
      <c r="AG129" s="7"/>
    </row>
    <row r="130" spans="1:33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 t="str">
        <f t="shared" si="0"/>
        <v/>
      </c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26"/>
      <c r="AB130" s="7"/>
      <c r="AC130" s="7"/>
      <c r="AD130" s="7"/>
      <c r="AE130" s="7"/>
      <c r="AF130" s="7"/>
      <c r="AG130" s="7"/>
    </row>
    <row r="131" spans="1:33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 t="str">
        <f t="shared" si="0"/>
        <v/>
      </c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26"/>
      <c r="AB131" s="7"/>
      <c r="AC131" s="7"/>
      <c r="AD131" s="7"/>
      <c r="AE131" s="7"/>
      <c r="AF131" s="7"/>
      <c r="AG131" s="7"/>
    </row>
    <row r="132" spans="1:33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 t="str">
        <f t="shared" si="0"/>
        <v/>
      </c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26"/>
      <c r="AB132" s="7"/>
      <c r="AC132" s="7"/>
      <c r="AD132" s="7"/>
      <c r="AE132" s="7"/>
      <c r="AF132" s="7"/>
      <c r="AG132" s="7"/>
    </row>
    <row r="133" spans="1:33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 t="str">
        <f t="shared" si="0"/>
        <v/>
      </c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26"/>
      <c r="AB133" s="7"/>
      <c r="AC133" s="7"/>
      <c r="AD133" s="7"/>
      <c r="AE133" s="7"/>
      <c r="AF133" s="7"/>
      <c r="AG133" s="7"/>
    </row>
    <row r="134" spans="1:33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 t="str">
        <f t="shared" si="0"/>
        <v/>
      </c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26"/>
      <c r="AB134" s="7"/>
      <c r="AC134" s="7"/>
      <c r="AD134" s="7"/>
      <c r="AE134" s="7"/>
      <c r="AF134" s="7"/>
      <c r="AG134" s="7"/>
    </row>
    <row r="135" spans="1:33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 t="str">
        <f t="shared" si="0"/>
        <v/>
      </c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26"/>
      <c r="AB135" s="7"/>
      <c r="AC135" s="7"/>
      <c r="AD135" s="7"/>
      <c r="AE135" s="7"/>
      <c r="AF135" s="7"/>
      <c r="AG135" s="7"/>
    </row>
    <row r="136" spans="1:33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 t="str">
        <f t="shared" si="0"/>
        <v/>
      </c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26"/>
      <c r="AB136" s="7"/>
      <c r="AC136" s="7"/>
      <c r="AD136" s="7"/>
      <c r="AE136" s="7"/>
      <c r="AF136" s="7"/>
      <c r="AG136" s="7"/>
    </row>
    <row r="137" spans="1:33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 t="str">
        <f t="shared" si="0"/>
        <v/>
      </c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26"/>
      <c r="AB137" s="7"/>
      <c r="AC137" s="7"/>
      <c r="AD137" s="7"/>
      <c r="AE137" s="7"/>
      <c r="AF137" s="7"/>
      <c r="AG137" s="7"/>
    </row>
    <row r="138" spans="1:33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 t="str">
        <f t="shared" si="0"/>
        <v/>
      </c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26"/>
      <c r="AB138" s="7"/>
      <c r="AC138" s="7"/>
      <c r="AD138" s="7"/>
      <c r="AE138" s="7"/>
      <c r="AF138" s="7"/>
      <c r="AG138" s="7"/>
    </row>
    <row r="139" spans="1:33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 t="str">
        <f t="shared" si="0"/>
        <v/>
      </c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26"/>
      <c r="AB139" s="7"/>
      <c r="AC139" s="7"/>
      <c r="AD139" s="7"/>
      <c r="AE139" s="7"/>
      <c r="AF139" s="7"/>
      <c r="AG139" s="7"/>
    </row>
    <row r="140" spans="1:33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 t="str">
        <f t="shared" si="0"/>
        <v/>
      </c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26"/>
      <c r="AB140" s="7"/>
      <c r="AC140" s="7"/>
      <c r="AD140" s="7"/>
      <c r="AE140" s="7"/>
      <c r="AF140" s="7"/>
      <c r="AG140" s="7"/>
    </row>
    <row r="141" spans="1:33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 t="str">
        <f t="shared" si="0"/>
        <v/>
      </c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26"/>
      <c r="AB141" s="7"/>
      <c r="AC141" s="7"/>
      <c r="AD141" s="7"/>
      <c r="AE141" s="7"/>
      <c r="AF141" s="7"/>
      <c r="AG141" s="7"/>
    </row>
    <row r="142" spans="1:33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 t="str">
        <f t="shared" si="0"/>
        <v/>
      </c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26"/>
      <c r="AB142" s="7"/>
      <c r="AC142" s="7"/>
      <c r="AD142" s="7"/>
      <c r="AE142" s="7"/>
      <c r="AF142" s="7"/>
      <c r="AG142" s="7"/>
    </row>
    <row r="143" spans="1:33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 t="str">
        <f t="shared" si="0"/>
        <v/>
      </c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26"/>
      <c r="AB143" s="7"/>
      <c r="AC143" s="7"/>
      <c r="AD143" s="7"/>
      <c r="AE143" s="7"/>
      <c r="AF143" s="7"/>
      <c r="AG143" s="7"/>
    </row>
    <row r="144" spans="1:33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 t="str">
        <f t="shared" si="0"/>
        <v/>
      </c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26"/>
      <c r="AB144" s="7"/>
      <c r="AC144" s="7"/>
      <c r="AD144" s="7"/>
      <c r="AE144" s="7"/>
      <c r="AF144" s="7"/>
      <c r="AG144" s="7"/>
    </row>
    <row r="145" spans="1:33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 t="str">
        <f t="shared" si="0"/>
        <v/>
      </c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26"/>
      <c r="AB145" s="7"/>
      <c r="AC145" s="7"/>
      <c r="AD145" s="7"/>
      <c r="AE145" s="7"/>
      <c r="AF145" s="7"/>
      <c r="AG145" s="7"/>
    </row>
    <row r="146" spans="1:33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 t="str">
        <f t="shared" si="0"/>
        <v/>
      </c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26"/>
      <c r="AB146" s="7"/>
      <c r="AC146" s="7"/>
      <c r="AD146" s="7"/>
      <c r="AE146" s="7"/>
      <c r="AF146" s="7"/>
      <c r="AG146" s="7"/>
    </row>
    <row r="147" spans="1:33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 t="str">
        <f t="shared" si="0"/>
        <v/>
      </c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26"/>
      <c r="AB147" s="7"/>
      <c r="AC147" s="7"/>
      <c r="AD147" s="7"/>
      <c r="AE147" s="7"/>
      <c r="AF147" s="7"/>
      <c r="AG147" s="7"/>
    </row>
    <row r="148" spans="1:33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 t="str">
        <f t="shared" si="0"/>
        <v/>
      </c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26"/>
      <c r="AB148" s="7"/>
      <c r="AC148" s="7"/>
      <c r="AD148" s="7"/>
      <c r="AE148" s="7"/>
      <c r="AF148" s="7"/>
      <c r="AG148" s="7"/>
    </row>
    <row r="149" spans="1:33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 t="str">
        <f t="shared" si="0"/>
        <v/>
      </c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26"/>
      <c r="AB149" s="7"/>
      <c r="AC149" s="7"/>
      <c r="AD149" s="7"/>
      <c r="AE149" s="7"/>
      <c r="AF149" s="7"/>
      <c r="AG149" s="7"/>
    </row>
    <row r="150" spans="1:33" x14ac:dyDescent="0.25">
      <c r="A150" s="7"/>
      <c r="B150" s="7"/>
      <c r="C150" s="7"/>
      <c r="D150" s="7"/>
      <c r="E150" s="7" t="e">
        <f t="array" ref="E150">TRANSPOSE('[4]Form Responses OSCE Station 4'!N2:BC2)</f>
        <v>#REF!</v>
      </c>
      <c r="F150" s="7"/>
      <c r="G150" s="7"/>
      <c r="H150" s="7"/>
      <c r="I150" s="7"/>
      <c r="J150" s="7"/>
      <c r="K150" s="7"/>
      <c r="L150" s="7"/>
      <c r="M150" s="7"/>
      <c r="N150" s="7" t="e">
        <f t="shared" si="0"/>
        <v>#REF!</v>
      </c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26"/>
      <c r="AB150" s="7"/>
      <c r="AC150" s="7"/>
      <c r="AD150" s="7"/>
      <c r="AE150" s="7"/>
      <c r="AF150" s="7"/>
      <c r="AG150" s="7"/>
    </row>
    <row r="151" spans="1:33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 t="str">
        <f t="shared" si="0"/>
        <v/>
      </c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26"/>
      <c r="AB151" s="7"/>
      <c r="AC151" s="7"/>
      <c r="AD151" s="7"/>
      <c r="AE151" s="7"/>
      <c r="AF151" s="7"/>
      <c r="AG151" s="7"/>
    </row>
    <row r="152" spans="1:33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 t="str">
        <f t="shared" si="0"/>
        <v/>
      </c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26"/>
      <c r="AB152" s="7"/>
      <c r="AC152" s="7"/>
      <c r="AD152" s="7"/>
      <c r="AE152" s="7"/>
      <c r="AF152" s="7"/>
      <c r="AG152" s="7"/>
    </row>
    <row r="153" spans="1:33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 t="str">
        <f t="shared" si="0"/>
        <v/>
      </c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26"/>
      <c r="AB153" s="7"/>
      <c r="AC153" s="7"/>
      <c r="AD153" s="7"/>
      <c r="AE153" s="7"/>
      <c r="AF153" s="7"/>
      <c r="AG153" s="7"/>
    </row>
    <row r="154" spans="1:33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 t="str">
        <f t="shared" si="0"/>
        <v/>
      </c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26"/>
      <c r="AB154" s="7"/>
      <c r="AC154" s="7"/>
      <c r="AD154" s="7"/>
      <c r="AE154" s="7"/>
      <c r="AF154" s="7"/>
      <c r="AG154" s="7"/>
    </row>
    <row r="155" spans="1:33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 t="str">
        <f t="shared" si="0"/>
        <v/>
      </c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26"/>
      <c r="AB155" s="7"/>
      <c r="AC155" s="7"/>
      <c r="AD155" s="7"/>
      <c r="AE155" s="7"/>
      <c r="AF155" s="7"/>
      <c r="AG155" s="7"/>
    </row>
    <row r="156" spans="1:33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 t="str">
        <f t="shared" si="0"/>
        <v/>
      </c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26"/>
      <c r="AB156" s="7"/>
      <c r="AC156" s="7"/>
      <c r="AD156" s="7"/>
      <c r="AE156" s="7"/>
      <c r="AF156" s="7"/>
      <c r="AG156" s="7"/>
    </row>
    <row r="157" spans="1:33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 t="str">
        <f t="shared" si="0"/>
        <v/>
      </c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26"/>
      <c r="AB157" s="7"/>
      <c r="AC157" s="7"/>
      <c r="AD157" s="7"/>
      <c r="AE157" s="7"/>
      <c r="AF157" s="7"/>
      <c r="AG157" s="7"/>
    </row>
    <row r="158" spans="1:33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 t="str">
        <f t="shared" si="0"/>
        <v/>
      </c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26"/>
      <c r="AB158" s="7"/>
      <c r="AC158" s="7"/>
      <c r="AD158" s="7"/>
      <c r="AE158" s="7"/>
      <c r="AF158" s="7"/>
      <c r="AG158" s="7"/>
    </row>
    <row r="159" spans="1:33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 t="str">
        <f t="shared" si="0"/>
        <v/>
      </c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26"/>
      <c r="AB159" s="7"/>
      <c r="AC159" s="7"/>
      <c r="AD159" s="7"/>
      <c r="AE159" s="7"/>
      <c r="AF159" s="7"/>
      <c r="AG159" s="7"/>
    </row>
    <row r="160" spans="1:33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 t="str">
        <f t="shared" si="0"/>
        <v/>
      </c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26"/>
      <c r="AB160" s="7"/>
      <c r="AC160" s="7"/>
      <c r="AD160" s="7"/>
      <c r="AE160" s="7"/>
      <c r="AF160" s="7"/>
      <c r="AG160" s="7"/>
    </row>
    <row r="161" spans="1:33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 t="str">
        <f t="shared" si="0"/>
        <v/>
      </c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26"/>
      <c r="AB161" s="7"/>
      <c r="AC161" s="7"/>
      <c r="AD161" s="7"/>
      <c r="AE161" s="7"/>
      <c r="AF161" s="7"/>
      <c r="AG161" s="7"/>
    </row>
    <row r="162" spans="1:33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 t="str">
        <f t="shared" si="0"/>
        <v/>
      </c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26"/>
      <c r="AB162" s="7"/>
      <c r="AC162" s="7"/>
      <c r="AD162" s="7"/>
      <c r="AE162" s="7"/>
      <c r="AF162" s="7"/>
      <c r="AG162" s="7"/>
    </row>
    <row r="163" spans="1:33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 t="str">
        <f t="shared" si="0"/>
        <v/>
      </c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26"/>
      <c r="AB163" s="7"/>
      <c r="AC163" s="7"/>
      <c r="AD163" s="7"/>
      <c r="AE163" s="7"/>
      <c r="AF163" s="7"/>
      <c r="AG163" s="7"/>
    </row>
    <row r="164" spans="1:33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 t="str">
        <f t="shared" si="0"/>
        <v/>
      </c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26"/>
      <c r="AB164" s="7"/>
      <c r="AC164" s="7"/>
      <c r="AD164" s="7"/>
      <c r="AE164" s="7"/>
      <c r="AF164" s="7"/>
      <c r="AG164" s="7"/>
    </row>
    <row r="165" spans="1:33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 t="str">
        <f t="shared" si="0"/>
        <v/>
      </c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26"/>
      <c r="AB165" s="7"/>
      <c r="AC165" s="7"/>
      <c r="AD165" s="7"/>
      <c r="AE165" s="7"/>
      <c r="AF165" s="7"/>
      <c r="AG165" s="7"/>
    </row>
    <row r="166" spans="1:33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 t="str">
        <f t="shared" si="0"/>
        <v/>
      </c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26"/>
      <c r="AB166" s="7"/>
      <c r="AC166" s="7"/>
      <c r="AD166" s="7"/>
      <c r="AE166" s="7"/>
      <c r="AF166" s="7"/>
      <c r="AG166" s="7"/>
    </row>
    <row r="167" spans="1:33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 t="str">
        <f t="shared" si="0"/>
        <v/>
      </c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26"/>
      <c r="AB167" s="7"/>
      <c r="AC167" s="7"/>
      <c r="AD167" s="7"/>
      <c r="AE167" s="7"/>
      <c r="AF167" s="7"/>
      <c r="AG167" s="7"/>
    </row>
    <row r="168" spans="1:33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 t="str">
        <f t="shared" si="0"/>
        <v/>
      </c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26"/>
      <c r="AB168" s="7"/>
      <c r="AC168" s="7"/>
      <c r="AD168" s="7"/>
      <c r="AE168" s="7"/>
      <c r="AF168" s="7"/>
      <c r="AG168" s="7"/>
    </row>
    <row r="169" spans="1:33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 t="str">
        <f t="shared" si="0"/>
        <v/>
      </c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26"/>
      <c r="AB169" s="7"/>
      <c r="AC169" s="7"/>
      <c r="AD169" s="7"/>
      <c r="AE169" s="7"/>
      <c r="AF169" s="7"/>
      <c r="AG169" s="7"/>
    </row>
    <row r="170" spans="1:33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 t="str">
        <f t="shared" si="0"/>
        <v/>
      </c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26"/>
      <c r="AB170" s="7"/>
      <c r="AC170" s="7"/>
      <c r="AD170" s="7"/>
      <c r="AE170" s="7"/>
      <c r="AF170" s="7"/>
      <c r="AG170" s="7"/>
    </row>
    <row r="171" spans="1:33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 t="str">
        <f t="shared" si="0"/>
        <v/>
      </c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26"/>
      <c r="AB171" s="7"/>
      <c r="AC171" s="7"/>
      <c r="AD171" s="7"/>
      <c r="AE171" s="7"/>
      <c r="AF171" s="7"/>
      <c r="AG171" s="7"/>
    </row>
    <row r="172" spans="1:33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 t="str">
        <f t="shared" si="0"/>
        <v/>
      </c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26"/>
      <c r="AB172" s="7"/>
      <c r="AC172" s="7"/>
      <c r="AD172" s="7"/>
      <c r="AE172" s="7"/>
      <c r="AF172" s="7"/>
      <c r="AG172" s="7"/>
    </row>
    <row r="173" spans="1:33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 t="str">
        <f t="shared" si="0"/>
        <v/>
      </c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26"/>
      <c r="AB173" s="7"/>
      <c r="AC173" s="7"/>
      <c r="AD173" s="7"/>
      <c r="AE173" s="7"/>
      <c r="AF173" s="7"/>
      <c r="AG173" s="7"/>
    </row>
    <row r="174" spans="1:33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 t="str">
        <f t="shared" si="0"/>
        <v/>
      </c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26"/>
      <c r="AB174" s="7"/>
      <c r="AC174" s="7"/>
      <c r="AD174" s="7"/>
      <c r="AE174" s="7"/>
      <c r="AF174" s="7"/>
      <c r="AG174" s="7"/>
    </row>
    <row r="175" spans="1:33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 t="str">
        <f t="shared" si="0"/>
        <v/>
      </c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26"/>
      <c r="AB175" s="7"/>
      <c r="AC175" s="7"/>
      <c r="AD175" s="7"/>
      <c r="AE175" s="7"/>
      <c r="AF175" s="7"/>
      <c r="AG175" s="7"/>
    </row>
    <row r="176" spans="1:33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 t="str">
        <f t="shared" si="0"/>
        <v/>
      </c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26"/>
      <c r="AB176" s="7"/>
      <c r="AC176" s="7"/>
      <c r="AD176" s="7"/>
      <c r="AE176" s="7"/>
      <c r="AF176" s="7"/>
      <c r="AG176" s="7"/>
    </row>
    <row r="177" spans="1:33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 t="str">
        <f t="shared" si="0"/>
        <v/>
      </c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26"/>
      <c r="AB177" s="7"/>
      <c r="AC177" s="7"/>
      <c r="AD177" s="7"/>
      <c r="AE177" s="7"/>
      <c r="AF177" s="7"/>
      <c r="AG177" s="7"/>
    </row>
    <row r="178" spans="1:33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 t="str">
        <f t="shared" si="0"/>
        <v/>
      </c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26"/>
      <c r="AB178" s="7"/>
      <c r="AC178" s="7"/>
      <c r="AD178" s="7"/>
      <c r="AE178" s="7"/>
      <c r="AF178" s="7"/>
      <c r="AG178" s="7"/>
    </row>
    <row r="179" spans="1:33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 t="str">
        <f t="shared" si="0"/>
        <v/>
      </c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26"/>
      <c r="AB179" s="7"/>
      <c r="AC179" s="7"/>
      <c r="AD179" s="7"/>
      <c r="AE179" s="7"/>
      <c r="AF179" s="7"/>
      <c r="AG179" s="7"/>
    </row>
    <row r="180" spans="1:33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 t="str">
        <f t="shared" si="0"/>
        <v/>
      </c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26"/>
      <c r="AB180" s="7"/>
      <c r="AC180" s="7"/>
      <c r="AD180" s="7"/>
      <c r="AE180" s="7"/>
      <c r="AF180" s="7"/>
      <c r="AG180" s="7"/>
    </row>
    <row r="181" spans="1:33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 t="str">
        <f t="shared" si="0"/>
        <v/>
      </c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26"/>
      <c r="AB181" s="7"/>
      <c r="AC181" s="7"/>
      <c r="AD181" s="7"/>
      <c r="AE181" s="7"/>
      <c r="AF181" s="7"/>
      <c r="AG181" s="7"/>
    </row>
    <row r="182" spans="1:33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 t="str">
        <f t="shared" si="0"/>
        <v/>
      </c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26"/>
      <c r="AB182" s="7"/>
      <c r="AC182" s="7"/>
      <c r="AD182" s="7"/>
      <c r="AE182" s="7"/>
      <c r="AF182" s="7"/>
      <c r="AG182" s="7"/>
    </row>
    <row r="183" spans="1:33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 t="str">
        <f t="shared" si="0"/>
        <v/>
      </c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26"/>
      <c r="AB183" s="7"/>
      <c r="AC183" s="7"/>
      <c r="AD183" s="7"/>
      <c r="AE183" s="7"/>
      <c r="AF183" s="7"/>
      <c r="AG183" s="7"/>
    </row>
    <row r="184" spans="1:33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 t="str">
        <f t="shared" si="0"/>
        <v/>
      </c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26"/>
      <c r="AB184" s="7"/>
      <c r="AC184" s="7"/>
      <c r="AD184" s="7"/>
      <c r="AE184" s="7"/>
      <c r="AF184" s="7"/>
      <c r="AG184" s="7"/>
    </row>
    <row r="185" spans="1:33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 t="str">
        <f t="shared" si="0"/>
        <v/>
      </c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26"/>
      <c r="AB185" s="7"/>
      <c r="AC185" s="7"/>
      <c r="AD185" s="7"/>
      <c r="AE185" s="7"/>
      <c r="AF185" s="7"/>
      <c r="AG185" s="7"/>
    </row>
    <row r="186" spans="1:33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 t="str">
        <f t="shared" si="0"/>
        <v/>
      </c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26"/>
      <c r="AB186" s="7"/>
      <c r="AC186" s="7"/>
      <c r="AD186" s="7"/>
      <c r="AE186" s="7"/>
      <c r="AF186" s="7"/>
      <c r="AG186" s="7"/>
    </row>
    <row r="187" spans="1:33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 t="str">
        <f t="shared" si="0"/>
        <v/>
      </c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26"/>
      <c r="AB187" s="7"/>
      <c r="AC187" s="7"/>
      <c r="AD187" s="7"/>
      <c r="AE187" s="7"/>
      <c r="AF187" s="7"/>
      <c r="AG187" s="7"/>
    </row>
    <row r="188" spans="1:33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 t="str">
        <f t="shared" si="0"/>
        <v/>
      </c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26"/>
      <c r="AB188" s="7"/>
      <c r="AC188" s="7"/>
      <c r="AD188" s="7"/>
      <c r="AE188" s="7"/>
      <c r="AF188" s="7"/>
      <c r="AG188" s="7"/>
    </row>
    <row r="189" spans="1:33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 t="str">
        <f t="shared" si="0"/>
        <v/>
      </c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26"/>
      <c r="AB189" s="7"/>
      <c r="AC189" s="7"/>
      <c r="AD189" s="7"/>
      <c r="AE189" s="7"/>
      <c r="AF189" s="7"/>
      <c r="AG189" s="7"/>
    </row>
    <row r="190" spans="1:33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 t="str">
        <f t="shared" si="0"/>
        <v/>
      </c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26"/>
      <c r="AB190" s="7"/>
      <c r="AC190" s="7"/>
      <c r="AD190" s="7"/>
      <c r="AE190" s="7"/>
      <c r="AF190" s="7"/>
      <c r="AG190" s="7"/>
    </row>
    <row r="191" spans="1:33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 t="str">
        <f t="shared" si="0"/>
        <v/>
      </c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26"/>
      <c r="AB191" s="7"/>
      <c r="AC191" s="7"/>
      <c r="AD191" s="7"/>
      <c r="AE191" s="7"/>
      <c r="AF191" s="7"/>
      <c r="AG191" s="7"/>
    </row>
    <row r="192" spans="1:33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 t="str">
        <f t="shared" si="0"/>
        <v/>
      </c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26"/>
      <c r="AB192" s="7"/>
      <c r="AC192" s="7"/>
      <c r="AD192" s="7"/>
      <c r="AE192" s="7"/>
      <c r="AF192" s="7"/>
      <c r="AG192" s="7"/>
    </row>
    <row r="193" spans="1:33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 t="str">
        <f t="shared" si="0"/>
        <v/>
      </c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26"/>
      <c r="AB193" s="7"/>
      <c r="AC193" s="7"/>
      <c r="AD193" s="7"/>
      <c r="AE193" s="7"/>
      <c r="AF193" s="7"/>
      <c r="AG193" s="7"/>
    </row>
    <row r="194" spans="1:33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 t="str">
        <f t="shared" si="0"/>
        <v/>
      </c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26"/>
      <c r="AB194" s="7"/>
      <c r="AC194" s="7"/>
      <c r="AD194" s="7"/>
      <c r="AE194" s="7"/>
      <c r="AF194" s="7"/>
      <c r="AG194" s="7"/>
    </row>
    <row r="195" spans="1:33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 t="str">
        <f t="shared" si="0"/>
        <v/>
      </c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26"/>
      <c r="AB195" s="7"/>
      <c r="AC195" s="7"/>
      <c r="AD195" s="7"/>
      <c r="AE195" s="7"/>
      <c r="AF195" s="7"/>
      <c r="AG195" s="7"/>
    </row>
    <row r="196" spans="1:33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 t="str">
        <f t="shared" si="0"/>
        <v/>
      </c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26"/>
      <c r="AB196" s="7"/>
      <c r="AC196" s="7"/>
      <c r="AD196" s="7"/>
      <c r="AE196" s="7"/>
      <c r="AF196" s="7"/>
      <c r="AG196" s="7"/>
    </row>
    <row r="197" spans="1:33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 t="str">
        <f t="shared" si="0"/>
        <v/>
      </c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26"/>
      <c r="AB197" s="7"/>
      <c r="AC197" s="7"/>
      <c r="AD197" s="7"/>
      <c r="AE197" s="7"/>
      <c r="AF197" s="7"/>
      <c r="AG197" s="7"/>
    </row>
    <row r="198" spans="1:33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 t="str">
        <f t="shared" si="0"/>
        <v/>
      </c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26"/>
      <c r="AB198" s="7"/>
      <c r="AC198" s="7"/>
      <c r="AD198" s="7"/>
      <c r="AE198" s="7"/>
      <c r="AF198" s="7"/>
      <c r="AG198" s="7"/>
    </row>
    <row r="199" spans="1:33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 t="str">
        <f t="shared" si="0"/>
        <v/>
      </c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26"/>
      <c r="AB199" s="7"/>
      <c r="AC199" s="7"/>
      <c r="AD199" s="7"/>
      <c r="AE199" s="7"/>
      <c r="AF199" s="7"/>
      <c r="AG199" s="7"/>
    </row>
    <row r="200" spans="1:33" x14ac:dyDescent="0.25">
      <c r="A200" s="7"/>
      <c r="B200" s="7"/>
      <c r="C200" s="7"/>
      <c r="D200" s="7"/>
      <c r="E200" s="7"/>
      <c r="F200" s="7" t="e">
        <f t="array" ref="F200">TRANSPOSE('[5]Form Responses OSCE Station 5'!N2:BC2)</f>
        <v>#REF!</v>
      </c>
      <c r="G200" s="7"/>
      <c r="H200" s="7"/>
      <c r="I200" s="7"/>
      <c r="J200" s="7"/>
      <c r="K200" s="7"/>
      <c r="L200" s="7"/>
      <c r="M200" s="7"/>
      <c r="N200" s="7" t="e">
        <f t="shared" si="0"/>
        <v>#REF!</v>
      </c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26"/>
      <c r="AB200" s="7"/>
      <c r="AC200" s="7"/>
      <c r="AD200" s="7"/>
      <c r="AE200" s="7"/>
      <c r="AF200" s="7"/>
      <c r="AG200" s="7"/>
    </row>
    <row r="201" spans="1:33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 t="str">
        <f t="shared" si="0"/>
        <v/>
      </c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26"/>
      <c r="AB201" s="7"/>
      <c r="AC201" s="7"/>
      <c r="AD201" s="7"/>
      <c r="AE201" s="7"/>
      <c r="AF201" s="7"/>
      <c r="AG201" s="7"/>
    </row>
    <row r="202" spans="1:33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 t="str">
        <f t="shared" si="0"/>
        <v/>
      </c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26"/>
      <c r="AB202" s="7"/>
      <c r="AC202" s="7"/>
      <c r="AD202" s="7"/>
      <c r="AE202" s="7"/>
      <c r="AF202" s="7"/>
      <c r="AG202" s="7"/>
    </row>
    <row r="203" spans="1:33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 t="str">
        <f t="shared" si="0"/>
        <v/>
      </c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26"/>
      <c r="AB203" s="7"/>
      <c r="AC203" s="7"/>
      <c r="AD203" s="7"/>
      <c r="AE203" s="7"/>
      <c r="AF203" s="7"/>
      <c r="AG203" s="7"/>
    </row>
    <row r="204" spans="1:33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 t="str">
        <f t="shared" si="0"/>
        <v/>
      </c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26"/>
      <c r="AB204" s="7"/>
      <c r="AC204" s="7"/>
      <c r="AD204" s="7"/>
      <c r="AE204" s="7"/>
      <c r="AF204" s="7"/>
      <c r="AG204" s="7"/>
    </row>
    <row r="205" spans="1:33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 t="str">
        <f t="shared" si="0"/>
        <v/>
      </c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26"/>
      <c r="AB205" s="7"/>
      <c r="AC205" s="7"/>
      <c r="AD205" s="7"/>
      <c r="AE205" s="7"/>
      <c r="AF205" s="7"/>
      <c r="AG205" s="7"/>
    </row>
    <row r="206" spans="1:33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 t="str">
        <f t="shared" si="0"/>
        <v/>
      </c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26"/>
      <c r="AB206" s="7"/>
      <c r="AC206" s="7"/>
      <c r="AD206" s="7"/>
      <c r="AE206" s="7"/>
      <c r="AF206" s="7"/>
      <c r="AG206" s="7"/>
    </row>
    <row r="207" spans="1:33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 t="str">
        <f t="shared" si="0"/>
        <v/>
      </c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26"/>
      <c r="AB207" s="7"/>
      <c r="AC207" s="7"/>
      <c r="AD207" s="7"/>
      <c r="AE207" s="7"/>
      <c r="AF207" s="7"/>
      <c r="AG207" s="7"/>
    </row>
    <row r="208" spans="1:33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 t="str">
        <f t="shared" si="0"/>
        <v/>
      </c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26"/>
      <c r="AB208" s="7"/>
      <c r="AC208" s="7"/>
      <c r="AD208" s="7"/>
      <c r="AE208" s="7"/>
      <c r="AF208" s="7"/>
      <c r="AG208" s="7"/>
    </row>
    <row r="209" spans="1:33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 t="str">
        <f t="shared" si="0"/>
        <v/>
      </c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26"/>
      <c r="AB209" s="7"/>
      <c r="AC209" s="7"/>
      <c r="AD209" s="7"/>
      <c r="AE209" s="7"/>
      <c r="AF209" s="7"/>
      <c r="AG209" s="7"/>
    </row>
    <row r="210" spans="1:33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 t="str">
        <f t="shared" si="0"/>
        <v/>
      </c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26"/>
      <c r="AB210" s="7"/>
      <c r="AC210" s="7"/>
      <c r="AD210" s="7"/>
      <c r="AE210" s="7"/>
      <c r="AF210" s="7"/>
      <c r="AG210" s="7"/>
    </row>
    <row r="211" spans="1:33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 t="str">
        <f t="shared" si="0"/>
        <v/>
      </c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26"/>
      <c r="AB211" s="7"/>
      <c r="AC211" s="7"/>
      <c r="AD211" s="7"/>
      <c r="AE211" s="7"/>
      <c r="AF211" s="7"/>
      <c r="AG211" s="7"/>
    </row>
    <row r="212" spans="1:33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 t="str">
        <f t="shared" si="0"/>
        <v/>
      </c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26"/>
      <c r="AB212" s="7"/>
      <c r="AC212" s="7"/>
      <c r="AD212" s="7"/>
      <c r="AE212" s="7"/>
      <c r="AF212" s="7"/>
      <c r="AG212" s="7"/>
    </row>
    <row r="213" spans="1:33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 t="str">
        <f t="shared" si="0"/>
        <v/>
      </c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26"/>
      <c r="AB213" s="7"/>
      <c r="AC213" s="7"/>
      <c r="AD213" s="7"/>
      <c r="AE213" s="7"/>
      <c r="AF213" s="7"/>
      <c r="AG213" s="7"/>
    </row>
    <row r="214" spans="1:33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 t="str">
        <f t="shared" si="0"/>
        <v/>
      </c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26"/>
      <c r="AB214" s="7"/>
      <c r="AC214" s="7"/>
      <c r="AD214" s="7"/>
      <c r="AE214" s="7"/>
      <c r="AF214" s="7"/>
      <c r="AG214" s="7"/>
    </row>
    <row r="215" spans="1:33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 t="str">
        <f t="shared" si="0"/>
        <v/>
      </c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26"/>
      <c r="AB215" s="7"/>
      <c r="AC215" s="7"/>
      <c r="AD215" s="7"/>
      <c r="AE215" s="7"/>
      <c r="AF215" s="7"/>
      <c r="AG215" s="7"/>
    </row>
    <row r="216" spans="1:33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 t="str">
        <f t="shared" si="0"/>
        <v/>
      </c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26"/>
      <c r="AB216" s="7"/>
      <c r="AC216" s="7"/>
      <c r="AD216" s="7"/>
      <c r="AE216" s="7"/>
      <c r="AF216" s="7"/>
      <c r="AG216" s="7"/>
    </row>
    <row r="217" spans="1:33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 t="str">
        <f t="shared" si="0"/>
        <v/>
      </c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26"/>
      <c r="AB217" s="7"/>
      <c r="AC217" s="7"/>
      <c r="AD217" s="7"/>
      <c r="AE217" s="7"/>
      <c r="AF217" s="7"/>
      <c r="AG217" s="7"/>
    </row>
    <row r="218" spans="1:33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 t="str">
        <f t="shared" si="0"/>
        <v/>
      </c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26"/>
      <c r="AB218" s="7"/>
      <c r="AC218" s="7"/>
      <c r="AD218" s="7"/>
      <c r="AE218" s="7"/>
      <c r="AF218" s="7"/>
      <c r="AG218" s="7"/>
    </row>
    <row r="219" spans="1:33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 t="str">
        <f t="shared" si="0"/>
        <v/>
      </c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26"/>
      <c r="AB219" s="7"/>
      <c r="AC219" s="7"/>
      <c r="AD219" s="7"/>
      <c r="AE219" s="7"/>
      <c r="AF219" s="7"/>
      <c r="AG219" s="7"/>
    </row>
    <row r="220" spans="1:33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 t="str">
        <f t="shared" si="0"/>
        <v/>
      </c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26"/>
      <c r="AB220" s="7"/>
      <c r="AC220" s="7"/>
      <c r="AD220" s="7"/>
      <c r="AE220" s="7"/>
      <c r="AF220" s="7"/>
      <c r="AG220" s="7"/>
    </row>
    <row r="221" spans="1:33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 t="str">
        <f t="shared" si="0"/>
        <v/>
      </c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26"/>
      <c r="AB221" s="7"/>
      <c r="AC221" s="7"/>
      <c r="AD221" s="7"/>
      <c r="AE221" s="7"/>
      <c r="AF221" s="7"/>
      <c r="AG221" s="7"/>
    </row>
    <row r="222" spans="1:33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 t="str">
        <f t="shared" si="0"/>
        <v/>
      </c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26"/>
      <c r="AB222" s="7"/>
      <c r="AC222" s="7"/>
      <c r="AD222" s="7"/>
      <c r="AE222" s="7"/>
      <c r="AF222" s="7"/>
      <c r="AG222" s="7"/>
    </row>
    <row r="223" spans="1:33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 t="str">
        <f t="shared" si="0"/>
        <v/>
      </c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26"/>
      <c r="AB223" s="7"/>
      <c r="AC223" s="7"/>
      <c r="AD223" s="7"/>
      <c r="AE223" s="7"/>
      <c r="AF223" s="7"/>
      <c r="AG223" s="7"/>
    </row>
    <row r="224" spans="1:33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 t="str">
        <f t="shared" si="0"/>
        <v/>
      </c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26"/>
      <c r="AB224" s="7"/>
      <c r="AC224" s="7"/>
      <c r="AD224" s="7"/>
      <c r="AE224" s="7"/>
      <c r="AF224" s="7"/>
      <c r="AG224" s="7"/>
    </row>
    <row r="225" spans="1:33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 t="str">
        <f t="shared" si="0"/>
        <v/>
      </c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26"/>
      <c r="AB225" s="7"/>
      <c r="AC225" s="7"/>
      <c r="AD225" s="7"/>
      <c r="AE225" s="7"/>
      <c r="AF225" s="7"/>
      <c r="AG225" s="7"/>
    </row>
    <row r="226" spans="1:33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 t="str">
        <f t="shared" si="0"/>
        <v/>
      </c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26"/>
      <c r="AB226" s="7"/>
      <c r="AC226" s="7"/>
      <c r="AD226" s="7"/>
      <c r="AE226" s="7"/>
      <c r="AF226" s="7"/>
      <c r="AG226" s="7"/>
    </row>
    <row r="227" spans="1:33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 t="str">
        <f t="shared" si="0"/>
        <v/>
      </c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26"/>
      <c r="AB227" s="7"/>
      <c r="AC227" s="7"/>
      <c r="AD227" s="7"/>
      <c r="AE227" s="7"/>
      <c r="AF227" s="7"/>
      <c r="AG227" s="7"/>
    </row>
    <row r="228" spans="1:33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 t="str">
        <f t="shared" si="0"/>
        <v/>
      </c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26"/>
      <c r="AB228" s="7"/>
      <c r="AC228" s="7"/>
      <c r="AD228" s="7"/>
      <c r="AE228" s="7"/>
      <c r="AF228" s="7"/>
      <c r="AG228" s="7"/>
    </row>
    <row r="229" spans="1:33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 t="str">
        <f t="shared" si="0"/>
        <v/>
      </c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26"/>
      <c r="AB229" s="7"/>
      <c r="AC229" s="7"/>
      <c r="AD229" s="7"/>
      <c r="AE229" s="7"/>
      <c r="AF229" s="7"/>
      <c r="AG229" s="7"/>
    </row>
    <row r="230" spans="1:33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 t="str">
        <f t="shared" si="0"/>
        <v/>
      </c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26"/>
      <c r="AB230" s="7"/>
      <c r="AC230" s="7"/>
      <c r="AD230" s="7"/>
      <c r="AE230" s="7"/>
      <c r="AF230" s="7"/>
      <c r="AG230" s="7"/>
    </row>
    <row r="231" spans="1:33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 t="str">
        <f t="shared" si="0"/>
        <v/>
      </c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26"/>
      <c r="AB231" s="7"/>
      <c r="AC231" s="7"/>
      <c r="AD231" s="7"/>
      <c r="AE231" s="7"/>
      <c r="AF231" s="7"/>
      <c r="AG231" s="7"/>
    </row>
    <row r="232" spans="1:33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 t="str">
        <f t="shared" si="0"/>
        <v/>
      </c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26"/>
      <c r="AB232" s="7"/>
      <c r="AC232" s="7"/>
      <c r="AD232" s="7"/>
      <c r="AE232" s="7"/>
      <c r="AF232" s="7"/>
      <c r="AG232" s="7"/>
    </row>
    <row r="233" spans="1:33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 t="str">
        <f t="shared" si="0"/>
        <v/>
      </c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26"/>
      <c r="AB233" s="7"/>
      <c r="AC233" s="7"/>
      <c r="AD233" s="7"/>
      <c r="AE233" s="7"/>
      <c r="AF233" s="7"/>
      <c r="AG233" s="7"/>
    </row>
    <row r="234" spans="1:33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 t="str">
        <f t="shared" si="0"/>
        <v/>
      </c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26"/>
      <c r="AB234" s="7"/>
      <c r="AC234" s="7"/>
      <c r="AD234" s="7"/>
      <c r="AE234" s="7"/>
      <c r="AF234" s="7"/>
      <c r="AG234" s="7"/>
    </row>
    <row r="235" spans="1:33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 t="str">
        <f t="shared" si="0"/>
        <v/>
      </c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26"/>
      <c r="AB235" s="7"/>
      <c r="AC235" s="7"/>
      <c r="AD235" s="7"/>
      <c r="AE235" s="7"/>
      <c r="AF235" s="7"/>
      <c r="AG235" s="7"/>
    </row>
    <row r="236" spans="1:33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 t="str">
        <f t="shared" si="0"/>
        <v/>
      </c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26"/>
      <c r="AB236" s="7"/>
      <c r="AC236" s="7"/>
      <c r="AD236" s="7"/>
      <c r="AE236" s="7"/>
      <c r="AF236" s="7"/>
      <c r="AG236" s="7"/>
    </row>
    <row r="237" spans="1:33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 t="str">
        <f t="shared" si="0"/>
        <v/>
      </c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26"/>
      <c r="AB237" s="7"/>
      <c r="AC237" s="7"/>
      <c r="AD237" s="7"/>
      <c r="AE237" s="7"/>
      <c r="AF237" s="7"/>
      <c r="AG237" s="7"/>
    </row>
    <row r="238" spans="1:33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 t="str">
        <f t="shared" si="0"/>
        <v/>
      </c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26"/>
      <c r="AB238" s="7"/>
      <c r="AC238" s="7"/>
      <c r="AD238" s="7"/>
      <c r="AE238" s="7"/>
      <c r="AF238" s="7"/>
      <c r="AG238" s="7"/>
    </row>
    <row r="239" spans="1:33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 t="str">
        <f t="shared" si="0"/>
        <v/>
      </c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26"/>
      <c r="AB239" s="7"/>
      <c r="AC239" s="7"/>
      <c r="AD239" s="7"/>
      <c r="AE239" s="7"/>
      <c r="AF239" s="7"/>
      <c r="AG239" s="7"/>
    </row>
    <row r="240" spans="1:33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 t="str">
        <f t="shared" si="0"/>
        <v/>
      </c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26"/>
      <c r="AB240" s="7"/>
      <c r="AC240" s="7"/>
      <c r="AD240" s="7"/>
      <c r="AE240" s="7"/>
      <c r="AF240" s="7"/>
      <c r="AG240" s="7"/>
    </row>
    <row r="241" spans="1:33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 t="str">
        <f t="shared" si="0"/>
        <v/>
      </c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26"/>
      <c r="AB241" s="7"/>
      <c r="AC241" s="7"/>
      <c r="AD241" s="7"/>
      <c r="AE241" s="7"/>
      <c r="AF241" s="7"/>
      <c r="AG241" s="7"/>
    </row>
    <row r="242" spans="1:33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 t="str">
        <f t="shared" si="0"/>
        <v/>
      </c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26"/>
      <c r="AB242" s="7"/>
      <c r="AC242" s="7"/>
      <c r="AD242" s="7"/>
      <c r="AE242" s="7"/>
      <c r="AF242" s="7"/>
      <c r="AG242" s="7"/>
    </row>
    <row r="243" spans="1:33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 t="str">
        <f t="shared" si="0"/>
        <v/>
      </c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26"/>
      <c r="AB243" s="7"/>
      <c r="AC243" s="7"/>
      <c r="AD243" s="7"/>
      <c r="AE243" s="7"/>
      <c r="AF243" s="7"/>
      <c r="AG243" s="7"/>
    </row>
    <row r="244" spans="1:33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 t="str">
        <f t="shared" si="0"/>
        <v/>
      </c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26"/>
      <c r="AB244" s="7"/>
      <c r="AC244" s="7"/>
      <c r="AD244" s="7"/>
      <c r="AE244" s="7"/>
      <c r="AF244" s="7"/>
      <c r="AG244" s="7"/>
    </row>
    <row r="245" spans="1:33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 t="str">
        <f t="shared" si="0"/>
        <v/>
      </c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26"/>
      <c r="AB245" s="7"/>
      <c r="AC245" s="7"/>
      <c r="AD245" s="7"/>
      <c r="AE245" s="7"/>
      <c r="AF245" s="7"/>
      <c r="AG245" s="7"/>
    </row>
    <row r="246" spans="1:33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 t="str">
        <f t="shared" si="0"/>
        <v/>
      </c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26"/>
      <c r="AB246" s="7"/>
      <c r="AC246" s="7"/>
      <c r="AD246" s="7"/>
      <c r="AE246" s="7"/>
      <c r="AF246" s="7"/>
      <c r="AG246" s="7"/>
    </row>
    <row r="247" spans="1:33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 t="str">
        <f t="shared" si="0"/>
        <v/>
      </c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26"/>
      <c r="AB247" s="7"/>
      <c r="AC247" s="7"/>
      <c r="AD247" s="7"/>
      <c r="AE247" s="7"/>
      <c r="AF247" s="7"/>
      <c r="AG247" s="7"/>
    </row>
    <row r="248" spans="1:33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 t="str">
        <f t="shared" si="0"/>
        <v/>
      </c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26"/>
      <c r="AB248" s="7"/>
      <c r="AC248" s="7"/>
      <c r="AD248" s="7"/>
      <c r="AE248" s="7"/>
      <c r="AF248" s="7"/>
      <c r="AG248" s="7"/>
    </row>
    <row r="249" spans="1:33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 t="str">
        <f t="shared" si="0"/>
        <v/>
      </c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26"/>
      <c r="AB249" s="7"/>
      <c r="AC249" s="7"/>
      <c r="AD249" s="7"/>
      <c r="AE249" s="7"/>
      <c r="AF249" s="7"/>
      <c r="AG249" s="7"/>
    </row>
    <row r="250" spans="1:33" x14ac:dyDescent="0.25">
      <c r="A250" s="7"/>
      <c r="B250" s="7"/>
      <c r="C250" s="7"/>
      <c r="D250" s="7"/>
      <c r="E250" s="7"/>
      <c r="F250" s="7"/>
      <c r="G250" s="7" t="e">
        <f t="array" ref="G250">TRANSPOSE('[6]Form Responses OSCE Station 6'!N2:BC2)</f>
        <v>#REF!</v>
      </c>
      <c r="H250" s="7"/>
      <c r="I250" s="7"/>
      <c r="J250" s="7"/>
      <c r="K250" s="7"/>
      <c r="L250" s="7"/>
      <c r="M250" s="7"/>
      <c r="N250" s="7" t="e">
        <f t="shared" si="0"/>
        <v>#REF!</v>
      </c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26"/>
      <c r="AB250" s="7"/>
      <c r="AC250" s="7"/>
      <c r="AD250" s="7"/>
      <c r="AE250" s="7"/>
      <c r="AF250" s="7"/>
      <c r="AG250" s="7"/>
    </row>
    <row r="251" spans="1:33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 t="str">
        <f t="shared" si="0"/>
        <v/>
      </c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26"/>
      <c r="AB251" s="7"/>
      <c r="AC251" s="7"/>
      <c r="AD251" s="7"/>
      <c r="AE251" s="7"/>
      <c r="AF251" s="7"/>
      <c r="AG251" s="7"/>
    </row>
    <row r="252" spans="1:33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 t="str">
        <f t="shared" si="0"/>
        <v/>
      </c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26"/>
      <c r="AB252" s="7"/>
      <c r="AC252" s="7"/>
      <c r="AD252" s="7"/>
      <c r="AE252" s="7"/>
      <c r="AF252" s="7"/>
      <c r="AG252" s="7"/>
    </row>
    <row r="253" spans="1:33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 t="str">
        <f t="shared" si="0"/>
        <v/>
      </c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26"/>
      <c r="AB253" s="7"/>
      <c r="AC253" s="7"/>
      <c r="AD253" s="7"/>
      <c r="AE253" s="7"/>
      <c r="AF253" s="7"/>
      <c r="AG253" s="7"/>
    </row>
    <row r="254" spans="1:33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 t="str">
        <f t="shared" si="0"/>
        <v/>
      </c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26"/>
      <c r="AB254" s="7"/>
      <c r="AC254" s="7"/>
      <c r="AD254" s="7"/>
      <c r="AE254" s="7"/>
      <c r="AF254" s="7"/>
      <c r="AG254" s="7"/>
    </row>
    <row r="255" spans="1:33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 t="str">
        <f t="shared" si="0"/>
        <v/>
      </c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26"/>
      <c r="AB255" s="7"/>
      <c r="AC255" s="7"/>
      <c r="AD255" s="7"/>
      <c r="AE255" s="7"/>
      <c r="AF255" s="7"/>
      <c r="AG255" s="7"/>
    </row>
    <row r="256" spans="1:33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 t="str">
        <f t="shared" si="0"/>
        <v/>
      </c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26"/>
      <c r="AB256" s="7"/>
      <c r="AC256" s="7"/>
      <c r="AD256" s="7"/>
      <c r="AE256" s="7"/>
      <c r="AF256" s="7"/>
      <c r="AG256" s="7"/>
    </row>
    <row r="257" spans="1:33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 t="str">
        <f t="shared" si="0"/>
        <v/>
      </c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26"/>
      <c r="AB257" s="7"/>
      <c r="AC257" s="7"/>
      <c r="AD257" s="7"/>
      <c r="AE257" s="7"/>
      <c r="AF257" s="7"/>
      <c r="AG257" s="7"/>
    </row>
    <row r="258" spans="1:33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 t="str">
        <f t="shared" ref="N258:N512" si="1">IF(F258&lt;&gt;"",F258,IF(G258&lt;&gt;"",G258,IF(B258&lt;&gt;"",B258,IF(C258&lt;&gt;"",C258,IF(D258&lt;&gt;"",D258,IF(E258&lt;&gt;"",E258,IF(M258&lt;&gt;"",M258,IF(L258&lt;&gt;"",L258,IF(K258&lt;&gt;"",K258,IF(H258&lt;&gt;"",H258,IF(I258&lt;&gt;"",I258,IF(J258&lt;&gt;"",J258,""))))))))))))</f>
        <v/>
      </c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26"/>
      <c r="AB258" s="7"/>
      <c r="AC258" s="7"/>
      <c r="AD258" s="7"/>
      <c r="AE258" s="7"/>
      <c r="AF258" s="7"/>
      <c r="AG258" s="7"/>
    </row>
    <row r="259" spans="1:33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 t="str">
        <f t="shared" si="1"/>
        <v/>
      </c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26"/>
      <c r="AB259" s="7"/>
      <c r="AC259" s="7"/>
      <c r="AD259" s="7"/>
      <c r="AE259" s="7"/>
      <c r="AF259" s="7"/>
      <c r="AG259" s="7"/>
    </row>
    <row r="260" spans="1:33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 t="str">
        <f t="shared" si="1"/>
        <v/>
      </c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26"/>
      <c r="AB260" s="7"/>
      <c r="AC260" s="7"/>
      <c r="AD260" s="7"/>
      <c r="AE260" s="7"/>
      <c r="AF260" s="7"/>
      <c r="AG260" s="7"/>
    </row>
    <row r="261" spans="1:33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 t="str">
        <f t="shared" si="1"/>
        <v/>
      </c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26"/>
      <c r="AB261" s="7"/>
      <c r="AC261" s="7"/>
      <c r="AD261" s="7"/>
      <c r="AE261" s="7"/>
      <c r="AF261" s="7"/>
      <c r="AG261" s="7"/>
    </row>
    <row r="262" spans="1:33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 t="str">
        <f t="shared" si="1"/>
        <v/>
      </c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26"/>
      <c r="AB262" s="7"/>
      <c r="AC262" s="7"/>
      <c r="AD262" s="7"/>
      <c r="AE262" s="7"/>
      <c r="AF262" s="7"/>
      <c r="AG262" s="7"/>
    </row>
    <row r="263" spans="1:33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 t="str">
        <f t="shared" si="1"/>
        <v/>
      </c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26"/>
      <c r="AB263" s="7"/>
      <c r="AC263" s="7"/>
      <c r="AD263" s="7"/>
      <c r="AE263" s="7"/>
      <c r="AF263" s="7"/>
      <c r="AG263" s="7"/>
    </row>
    <row r="264" spans="1:33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 t="str">
        <f t="shared" si="1"/>
        <v/>
      </c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26"/>
      <c r="AB264" s="7"/>
      <c r="AC264" s="7"/>
      <c r="AD264" s="7"/>
      <c r="AE264" s="7"/>
      <c r="AF264" s="7"/>
      <c r="AG264" s="7"/>
    </row>
    <row r="265" spans="1:33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 t="str">
        <f t="shared" si="1"/>
        <v/>
      </c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26"/>
      <c r="AB265" s="7"/>
      <c r="AC265" s="7"/>
      <c r="AD265" s="7"/>
      <c r="AE265" s="7"/>
      <c r="AF265" s="7"/>
      <c r="AG265" s="7"/>
    </row>
    <row r="266" spans="1:33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 t="str">
        <f t="shared" si="1"/>
        <v/>
      </c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26"/>
      <c r="AB266" s="7"/>
      <c r="AC266" s="7"/>
      <c r="AD266" s="7"/>
      <c r="AE266" s="7"/>
      <c r="AF266" s="7"/>
      <c r="AG266" s="7"/>
    </row>
    <row r="267" spans="1:33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 t="str">
        <f t="shared" si="1"/>
        <v/>
      </c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26"/>
      <c r="AB267" s="7"/>
      <c r="AC267" s="7"/>
      <c r="AD267" s="7"/>
      <c r="AE267" s="7"/>
      <c r="AF267" s="7"/>
      <c r="AG267" s="7"/>
    </row>
    <row r="268" spans="1:33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 t="str">
        <f t="shared" si="1"/>
        <v/>
      </c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26"/>
      <c r="AB268" s="7"/>
      <c r="AC268" s="7"/>
      <c r="AD268" s="7"/>
      <c r="AE268" s="7"/>
      <c r="AF268" s="7"/>
      <c r="AG268" s="7"/>
    </row>
    <row r="269" spans="1:33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 t="str">
        <f t="shared" si="1"/>
        <v/>
      </c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26"/>
      <c r="AB269" s="7"/>
      <c r="AC269" s="7"/>
      <c r="AD269" s="7"/>
      <c r="AE269" s="7"/>
      <c r="AF269" s="7"/>
      <c r="AG269" s="7"/>
    </row>
    <row r="270" spans="1:33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 t="str">
        <f t="shared" si="1"/>
        <v/>
      </c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26"/>
      <c r="AB270" s="7"/>
      <c r="AC270" s="7"/>
      <c r="AD270" s="7"/>
      <c r="AE270" s="7"/>
      <c r="AF270" s="7"/>
      <c r="AG270" s="7"/>
    </row>
    <row r="271" spans="1:33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 t="str">
        <f t="shared" si="1"/>
        <v/>
      </c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26"/>
      <c r="AB271" s="7"/>
      <c r="AC271" s="7"/>
      <c r="AD271" s="7"/>
      <c r="AE271" s="7"/>
      <c r="AF271" s="7"/>
      <c r="AG271" s="7"/>
    </row>
    <row r="272" spans="1:33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 t="str">
        <f t="shared" si="1"/>
        <v/>
      </c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26"/>
      <c r="AB272" s="7"/>
      <c r="AC272" s="7"/>
      <c r="AD272" s="7"/>
      <c r="AE272" s="7"/>
      <c r="AF272" s="7"/>
      <c r="AG272" s="7"/>
    </row>
    <row r="273" spans="1:33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 t="str">
        <f t="shared" si="1"/>
        <v/>
      </c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26"/>
      <c r="AB273" s="7"/>
      <c r="AC273" s="7"/>
      <c r="AD273" s="7"/>
      <c r="AE273" s="7"/>
      <c r="AF273" s="7"/>
      <c r="AG273" s="7"/>
    </row>
    <row r="274" spans="1:33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 t="str">
        <f t="shared" si="1"/>
        <v/>
      </c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26"/>
      <c r="AB274" s="7"/>
      <c r="AC274" s="7"/>
      <c r="AD274" s="7"/>
      <c r="AE274" s="7"/>
      <c r="AF274" s="7"/>
      <c r="AG274" s="7"/>
    </row>
    <row r="275" spans="1:33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 t="str">
        <f t="shared" si="1"/>
        <v/>
      </c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26"/>
      <c r="AB275" s="7"/>
      <c r="AC275" s="7"/>
      <c r="AD275" s="7"/>
      <c r="AE275" s="7"/>
      <c r="AF275" s="7"/>
      <c r="AG275" s="7"/>
    </row>
    <row r="276" spans="1:33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 t="str">
        <f t="shared" si="1"/>
        <v/>
      </c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26"/>
      <c r="AB276" s="7"/>
      <c r="AC276" s="7"/>
      <c r="AD276" s="7"/>
      <c r="AE276" s="7"/>
      <c r="AF276" s="7"/>
      <c r="AG276" s="7"/>
    </row>
    <row r="277" spans="1:33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 t="str">
        <f t="shared" si="1"/>
        <v/>
      </c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26"/>
      <c r="AB277" s="7"/>
      <c r="AC277" s="7"/>
      <c r="AD277" s="7"/>
      <c r="AE277" s="7"/>
      <c r="AF277" s="7"/>
      <c r="AG277" s="7"/>
    </row>
    <row r="278" spans="1:33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 t="str">
        <f t="shared" si="1"/>
        <v/>
      </c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26"/>
      <c r="AB278" s="7"/>
      <c r="AC278" s="7"/>
      <c r="AD278" s="7"/>
      <c r="AE278" s="7"/>
      <c r="AF278" s="7"/>
      <c r="AG278" s="7"/>
    </row>
    <row r="279" spans="1:33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 t="str">
        <f t="shared" si="1"/>
        <v/>
      </c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26"/>
      <c r="AB279" s="7"/>
      <c r="AC279" s="7"/>
      <c r="AD279" s="7"/>
      <c r="AE279" s="7"/>
      <c r="AF279" s="7"/>
      <c r="AG279" s="7"/>
    </row>
    <row r="280" spans="1:33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 t="str">
        <f t="shared" si="1"/>
        <v/>
      </c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26"/>
      <c r="AB280" s="7"/>
      <c r="AC280" s="7"/>
      <c r="AD280" s="7"/>
      <c r="AE280" s="7"/>
      <c r="AF280" s="7"/>
      <c r="AG280" s="7"/>
    </row>
    <row r="281" spans="1:33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 t="str">
        <f t="shared" si="1"/>
        <v/>
      </c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26"/>
      <c r="AB281" s="7"/>
      <c r="AC281" s="7"/>
      <c r="AD281" s="7"/>
      <c r="AE281" s="7"/>
      <c r="AF281" s="7"/>
      <c r="AG281" s="7"/>
    </row>
    <row r="282" spans="1:33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 t="str">
        <f t="shared" si="1"/>
        <v/>
      </c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26"/>
      <c r="AB282" s="7"/>
      <c r="AC282" s="7"/>
      <c r="AD282" s="7"/>
      <c r="AE282" s="7"/>
      <c r="AF282" s="7"/>
      <c r="AG282" s="7"/>
    </row>
    <row r="283" spans="1:33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 t="str">
        <f t="shared" si="1"/>
        <v/>
      </c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26"/>
      <c r="AB283" s="7"/>
      <c r="AC283" s="7"/>
      <c r="AD283" s="7"/>
      <c r="AE283" s="7"/>
      <c r="AF283" s="7"/>
      <c r="AG283" s="7"/>
    </row>
    <row r="284" spans="1:33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 t="str">
        <f t="shared" si="1"/>
        <v/>
      </c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26"/>
      <c r="AB284" s="7"/>
      <c r="AC284" s="7"/>
      <c r="AD284" s="7"/>
      <c r="AE284" s="7"/>
      <c r="AF284" s="7"/>
      <c r="AG284" s="7"/>
    </row>
    <row r="285" spans="1:33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 t="str">
        <f t="shared" si="1"/>
        <v/>
      </c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26"/>
      <c r="AB285" s="7"/>
      <c r="AC285" s="7"/>
      <c r="AD285" s="7"/>
      <c r="AE285" s="7"/>
      <c r="AF285" s="7"/>
      <c r="AG285" s="7"/>
    </row>
    <row r="286" spans="1:33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 t="str">
        <f t="shared" si="1"/>
        <v/>
      </c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26"/>
      <c r="AB286" s="7"/>
      <c r="AC286" s="7"/>
      <c r="AD286" s="7"/>
      <c r="AE286" s="7"/>
      <c r="AF286" s="7"/>
      <c r="AG286" s="7"/>
    </row>
    <row r="287" spans="1:33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 t="str">
        <f t="shared" si="1"/>
        <v/>
      </c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26"/>
      <c r="AB287" s="7"/>
      <c r="AC287" s="7"/>
      <c r="AD287" s="7"/>
      <c r="AE287" s="7"/>
      <c r="AF287" s="7"/>
      <c r="AG287" s="7"/>
    </row>
    <row r="288" spans="1:33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 t="str">
        <f t="shared" si="1"/>
        <v/>
      </c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26"/>
      <c r="AB288" s="7"/>
      <c r="AC288" s="7"/>
      <c r="AD288" s="7"/>
      <c r="AE288" s="7"/>
      <c r="AF288" s="7"/>
      <c r="AG288" s="7"/>
    </row>
    <row r="289" spans="1:33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 t="str">
        <f t="shared" si="1"/>
        <v/>
      </c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26"/>
      <c r="AB289" s="7"/>
      <c r="AC289" s="7"/>
      <c r="AD289" s="7"/>
      <c r="AE289" s="7"/>
      <c r="AF289" s="7"/>
      <c r="AG289" s="7"/>
    </row>
    <row r="290" spans="1:33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 t="str">
        <f t="shared" si="1"/>
        <v/>
      </c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26"/>
      <c r="AB290" s="7"/>
      <c r="AC290" s="7"/>
      <c r="AD290" s="7"/>
      <c r="AE290" s="7"/>
      <c r="AF290" s="7"/>
      <c r="AG290" s="7"/>
    </row>
    <row r="291" spans="1:33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 t="str">
        <f t="shared" si="1"/>
        <v/>
      </c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26"/>
      <c r="AB291" s="7"/>
      <c r="AC291" s="7"/>
      <c r="AD291" s="7"/>
      <c r="AE291" s="7"/>
      <c r="AF291" s="7"/>
      <c r="AG291" s="7"/>
    </row>
    <row r="292" spans="1:33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 t="str">
        <f t="shared" si="1"/>
        <v/>
      </c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26"/>
      <c r="AB292" s="7"/>
      <c r="AC292" s="7"/>
      <c r="AD292" s="7"/>
      <c r="AE292" s="7"/>
      <c r="AF292" s="7"/>
      <c r="AG292" s="7"/>
    </row>
    <row r="293" spans="1:33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 t="str">
        <f t="shared" si="1"/>
        <v/>
      </c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26"/>
      <c r="AB293" s="7"/>
      <c r="AC293" s="7"/>
      <c r="AD293" s="7"/>
      <c r="AE293" s="7"/>
      <c r="AF293" s="7"/>
      <c r="AG293" s="7"/>
    </row>
    <row r="294" spans="1:33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 t="str">
        <f t="shared" si="1"/>
        <v/>
      </c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26"/>
      <c r="AB294" s="7"/>
      <c r="AC294" s="7"/>
      <c r="AD294" s="7"/>
      <c r="AE294" s="7"/>
      <c r="AF294" s="7"/>
      <c r="AG294" s="7"/>
    </row>
    <row r="295" spans="1:33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 t="str">
        <f t="shared" si="1"/>
        <v/>
      </c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26"/>
      <c r="AB295" s="7"/>
      <c r="AC295" s="7"/>
      <c r="AD295" s="7"/>
      <c r="AE295" s="7"/>
      <c r="AF295" s="7"/>
      <c r="AG295" s="7"/>
    </row>
    <row r="296" spans="1:33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 t="str">
        <f t="shared" si="1"/>
        <v/>
      </c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26"/>
      <c r="AB296" s="7"/>
      <c r="AC296" s="7"/>
      <c r="AD296" s="7"/>
      <c r="AE296" s="7"/>
      <c r="AF296" s="7"/>
      <c r="AG296" s="7"/>
    </row>
    <row r="297" spans="1:33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 t="str">
        <f t="shared" si="1"/>
        <v/>
      </c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26"/>
      <c r="AB297" s="7"/>
      <c r="AC297" s="7"/>
      <c r="AD297" s="7"/>
      <c r="AE297" s="7"/>
      <c r="AF297" s="7"/>
      <c r="AG297" s="7"/>
    </row>
    <row r="298" spans="1:33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 t="str">
        <f t="shared" si="1"/>
        <v/>
      </c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26"/>
      <c r="AB298" s="7"/>
      <c r="AC298" s="7"/>
      <c r="AD298" s="7"/>
      <c r="AE298" s="7"/>
      <c r="AF298" s="7"/>
      <c r="AG298" s="7"/>
    </row>
    <row r="299" spans="1:33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 t="str">
        <f t="shared" si="1"/>
        <v/>
      </c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26"/>
      <c r="AB299" s="7"/>
      <c r="AC299" s="7"/>
      <c r="AD299" s="7"/>
      <c r="AE299" s="7"/>
      <c r="AF299" s="7"/>
      <c r="AG299" s="7"/>
    </row>
    <row r="300" spans="1:33" x14ac:dyDescent="0.25">
      <c r="A300" s="7"/>
      <c r="B300" s="7"/>
      <c r="C300" s="7"/>
      <c r="D300" s="7"/>
      <c r="E300" s="7"/>
      <c r="F300" s="7"/>
      <c r="G300" s="7"/>
      <c r="H300" s="7" t="e">
        <f t="array" ref="H300">TRANSPOSE('[7]Form Responses OSCE Station 7'!N2:BC2)</f>
        <v>#REF!</v>
      </c>
      <c r="I300" s="7"/>
      <c r="J300" s="7"/>
      <c r="K300" s="7"/>
      <c r="L300" s="7"/>
      <c r="M300" s="7"/>
      <c r="N300" s="7" t="e">
        <f t="shared" si="1"/>
        <v>#REF!</v>
      </c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26"/>
      <c r="AB300" s="7"/>
      <c r="AC300" s="7"/>
      <c r="AD300" s="7"/>
      <c r="AE300" s="7"/>
      <c r="AF300" s="7"/>
      <c r="AG300" s="7"/>
    </row>
    <row r="301" spans="1:33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 t="str">
        <f t="shared" si="1"/>
        <v/>
      </c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26"/>
      <c r="AB301" s="7"/>
      <c r="AC301" s="7"/>
      <c r="AD301" s="7"/>
      <c r="AE301" s="7"/>
      <c r="AF301" s="7"/>
      <c r="AG301" s="7"/>
    </row>
    <row r="302" spans="1:33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 t="str">
        <f t="shared" si="1"/>
        <v/>
      </c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26"/>
      <c r="AB302" s="7"/>
      <c r="AC302" s="7"/>
      <c r="AD302" s="7"/>
      <c r="AE302" s="7"/>
      <c r="AF302" s="7"/>
      <c r="AG302" s="7"/>
    </row>
    <row r="303" spans="1:33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 t="str">
        <f t="shared" si="1"/>
        <v/>
      </c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26"/>
      <c r="AB303" s="7"/>
      <c r="AC303" s="7"/>
      <c r="AD303" s="7"/>
      <c r="AE303" s="7"/>
      <c r="AF303" s="7"/>
      <c r="AG303" s="7"/>
    </row>
    <row r="304" spans="1:33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 t="str">
        <f t="shared" si="1"/>
        <v/>
      </c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26"/>
      <c r="AB304" s="7"/>
      <c r="AC304" s="7"/>
      <c r="AD304" s="7"/>
      <c r="AE304" s="7"/>
      <c r="AF304" s="7"/>
      <c r="AG304" s="7"/>
    </row>
    <row r="305" spans="1:33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 t="str">
        <f t="shared" si="1"/>
        <v/>
      </c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26"/>
      <c r="AB305" s="7"/>
      <c r="AC305" s="7"/>
      <c r="AD305" s="7"/>
      <c r="AE305" s="7"/>
      <c r="AF305" s="7"/>
      <c r="AG305" s="7"/>
    </row>
    <row r="306" spans="1:33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 t="str">
        <f t="shared" si="1"/>
        <v/>
      </c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26"/>
      <c r="AB306" s="7"/>
      <c r="AC306" s="7"/>
      <c r="AD306" s="7"/>
      <c r="AE306" s="7"/>
      <c r="AF306" s="7"/>
      <c r="AG306" s="7"/>
    </row>
    <row r="307" spans="1:33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 t="str">
        <f t="shared" si="1"/>
        <v/>
      </c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26"/>
      <c r="AB307" s="7"/>
      <c r="AC307" s="7"/>
      <c r="AD307" s="7"/>
      <c r="AE307" s="7"/>
      <c r="AF307" s="7"/>
      <c r="AG307" s="7"/>
    </row>
    <row r="308" spans="1:33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 t="str">
        <f t="shared" si="1"/>
        <v/>
      </c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26"/>
      <c r="AB308" s="7"/>
      <c r="AC308" s="7"/>
      <c r="AD308" s="7"/>
      <c r="AE308" s="7"/>
      <c r="AF308" s="7"/>
      <c r="AG308" s="7"/>
    </row>
    <row r="309" spans="1:33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 t="str">
        <f t="shared" si="1"/>
        <v/>
      </c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26"/>
      <c r="AB309" s="7"/>
      <c r="AC309" s="7"/>
      <c r="AD309" s="7"/>
      <c r="AE309" s="7"/>
      <c r="AF309" s="7"/>
      <c r="AG309" s="7"/>
    </row>
    <row r="310" spans="1:33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 t="str">
        <f t="shared" si="1"/>
        <v/>
      </c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26"/>
      <c r="AB310" s="7"/>
      <c r="AC310" s="7"/>
      <c r="AD310" s="7"/>
      <c r="AE310" s="7"/>
      <c r="AF310" s="7"/>
      <c r="AG310" s="7"/>
    </row>
    <row r="311" spans="1:33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 t="str">
        <f t="shared" si="1"/>
        <v/>
      </c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26"/>
      <c r="AB311" s="7"/>
      <c r="AC311" s="7"/>
      <c r="AD311" s="7"/>
      <c r="AE311" s="7"/>
      <c r="AF311" s="7"/>
      <c r="AG311" s="7"/>
    </row>
    <row r="312" spans="1:33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 t="str">
        <f t="shared" si="1"/>
        <v/>
      </c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26"/>
      <c r="AB312" s="7"/>
      <c r="AC312" s="7"/>
      <c r="AD312" s="7"/>
      <c r="AE312" s="7"/>
      <c r="AF312" s="7"/>
      <c r="AG312" s="7"/>
    </row>
    <row r="313" spans="1:33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 t="str">
        <f t="shared" si="1"/>
        <v/>
      </c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26"/>
      <c r="AB313" s="7"/>
      <c r="AC313" s="7"/>
      <c r="AD313" s="7"/>
      <c r="AE313" s="7"/>
      <c r="AF313" s="7"/>
      <c r="AG313" s="7"/>
    </row>
    <row r="314" spans="1:33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 t="str">
        <f t="shared" si="1"/>
        <v/>
      </c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26"/>
      <c r="AB314" s="7"/>
      <c r="AC314" s="7"/>
      <c r="AD314" s="7"/>
      <c r="AE314" s="7"/>
      <c r="AF314" s="7"/>
      <c r="AG314" s="7"/>
    </row>
    <row r="315" spans="1:33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 t="str">
        <f t="shared" si="1"/>
        <v/>
      </c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26"/>
      <c r="AB315" s="7"/>
      <c r="AC315" s="7"/>
      <c r="AD315" s="7"/>
      <c r="AE315" s="7"/>
      <c r="AF315" s="7"/>
      <c r="AG315" s="7"/>
    </row>
    <row r="316" spans="1:33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 t="str">
        <f t="shared" si="1"/>
        <v/>
      </c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26"/>
      <c r="AB316" s="7"/>
      <c r="AC316" s="7"/>
      <c r="AD316" s="7"/>
      <c r="AE316" s="7"/>
      <c r="AF316" s="7"/>
      <c r="AG316" s="7"/>
    </row>
    <row r="317" spans="1:33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 t="str">
        <f t="shared" si="1"/>
        <v/>
      </c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26"/>
      <c r="AB317" s="7"/>
      <c r="AC317" s="7"/>
      <c r="AD317" s="7"/>
      <c r="AE317" s="7"/>
      <c r="AF317" s="7"/>
      <c r="AG317" s="7"/>
    </row>
    <row r="318" spans="1:33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 t="str">
        <f t="shared" si="1"/>
        <v/>
      </c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26"/>
      <c r="AB318" s="7"/>
      <c r="AC318" s="7"/>
      <c r="AD318" s="7"/>
      <c r="AE318" s="7"/>
      <c r="AF318" s="7"/>
      <c r="AG318" s="7"/>
    </row>
    <row r="319" spans="1:33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 t="str">
        <f t="shared" si="1"/>
        <v/>
      </c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26"/>
      <c r="AB319" s="7"/>
      <c r="AC319" s="7"/>
      <c r="AD319" s="7"/>
      <c r="AE319" s="7"/>
      <c r="AF319" s="7"/>
      <c r="AG319" s="7"/>
    </row>
    <row r="320" spans="1:33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 t="str">
        <f t="shared" si="1"/>
        <v/>
      </c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26"/>
      <c r="AB320" s="7"/>
      <c r="AC320" s="7"/>
      <c r="AD320" s="7"/>
      <c r="AE320" s="7"/>
      <c r="AF320" s="7"/>
      <c r="AG320" s="7"/>
    </row>
    <row r="321" spans="1:33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 t="str">
        <f t="shared" si="1"/>
        <v/>
      </c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26"/>
      <c r="AB321" s="7"/>
      <c r="AC321" s="7"/>
      <c r="AD321" s="7"/>
      <c r="AE321" s="7"/>
      <c r="AF321" s="7"/>
      <c r="AG321" s="7"/>
    </row>
    <row r="322" spans="1:33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 t="str">
        <f t="shared" si="1"/>
        <v/>
      </c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26"/>
      <c r="AB322" s="7"/>
      <c r="AC322" s="7"/>
      <c r="AD322" s="7"/>
      <c r="AE322" s="7"/>
      <c r="AF322" s="7"/>
      <c r="AG322" s="7"/>
    </row>
    <row r="323" spans="1:33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 t="str">
        <f t="shared" si="1"/>
        <v/>
      </c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26"/>
      <c r="AB323" s="7"/>
      <c r="AC323" s="7"/>
      <c r="AD323" s="7"/>
      <c r="AE323" s="7"/>
      <c r="AF323" s="7"/>
      <c r="AG323" s="7"/>
    </row>
    <row r="324" spans="1:33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 t="str">
        <f t="shared" si="1"/>
        <v/>
      </c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26"/>
      <c r="AB324" s="7"/>
      <c r="AC324" s="7"/>
      <c r="AD324" s="7"/>
      <c r="AE324" s="7"/>
      <c r="AF324" s="7"/>
      <c r="AG324" s="7"/>
    </row>
    <row r="325" spans="1:33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 t="str">
        <f t="shared" si="1"/>
        <v/>
      </c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26"/>
      <c r="AB325" s="7"/>
      <c r="AC325" s="7"/>
      <c r="AD325" s="7"/>
      <c r="AE325" s="7"/>
      <c r="AF325" s="7"/>
      <c r="AG325" s="7"/>
    </row>
    <row r="326" spans="1:33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 t="str">
        <f t="shared" si="1"/>
        <v/>
      </c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26"/>
      <c r="AB326" s="7"/>
      <c r="AC326" s="7"/>
      <c r="AD326" s="7"/>
      <c r="AE326" s="7"/>
      <c r="AF326" s="7"/>
      <c r="AG326" s="7"/>
    </row>
    <row r="327" spans="1:33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 t="str">
        <f t="shared" si="1"/>
        <v/>
      </c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26"/>
      <c r="AB327" s="7"/>
      <c r="AC327" s="7"/>
      <c r="AD327" s="7"/>
      <c r="AE327" s="7"/>
      <c r="AF327" s="7"/>
      <c r="AG327" s="7"/>
    </row>
    <row r="328" spans="1:33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 t="str">
        <f t="shared" si="1"/>
        <v/>
      </c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26"/>
      <c r="AB328" s="7"/>
      <c r="AC328" s="7"/>
      <c r="AD328" s="7"/>
      <c r="AE328" s="7"/>
      <c r="AF328" s="7"/>
      <c r="AG328" s="7"/>
    </row>
    <row r="329" spans="1:33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 t="str">
        <f t="shared" si="1"/>
        <v/>
      </c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26"/>
      <c r="AB329" s="7"/>
      <c r="AC329" s="7"/>
      <c r="AD329" s="7"/>
      <c r="AE329" s="7"/>
      <c r="AF329" s="7"/>
      <c r="AG329" s="7"/>
    </row>
    <row r="330" spans="1:33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 t="str">
        <f t="shared" si="1"/>
        <v/>
      </c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26"/>
      <c r="AB330" s="7"/>
      <c r="AC330" s="7"/>
      <c r="AD330" s="7"/>
      <c r="AE330" s="7"/>
      <c r="AF330" s="7"/>
      <c r="AG330" s="7"/>
    </row>
    <row r="331" spans="1:33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 t="str">
        <f t="shared" si="1"/>
        <v/>
      </c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26"/>
      <c r="AB331" s="7"/>
      <c r="AC331" s="7"/>
      <c r="AD331" s="7"/>
      <c r="AE331" s="7"/>
      <c r="AF331" s="7"/>
      <c r="AG331" s="7"/>
    </row>
    <row r="332" spans="1:33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 t="str">
        <f t="shared" si="1"/>
        <v/>
      </c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26"/>
      <c r="AB332" s="7"/>
      <c r="AC332" s="7"/>
      <c r="AD332" s="7"/>
      <c r="AE332" s="7"/>
      <c r="AF332" s="7"/>
      <c r="AG332" s="7"/>
    </row>
    <row r="333" spans="1:33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 t="str">
        <f t="shared" si="1"/>
        <v/>
      </c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26"/>
      <c r="AB333" s="7"/>
      <c r="AC333" s="7"/>
      <c r="AD333" s="7"/>
      <c r="AE333" s="7"/>
      <c r="AF333" s="7"/>
      <c r="AG333" s="7"/>
    </row>
    <row r="334" spans="1:33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 t="str">
        <f t="shared" si="1"/>
        <v/>
      </c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26"/>
      <c r="AB334" s="7"/>
      <c r="AC334" s="7"/>
      <c r="AD334" s="7"/>
      <c r="AE334" s="7"/>
      <c r="AF334" s="7"/>
      <c r="AG334" s="7"/>
    </row>
    <row r="335" spans="1:33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 t="str">
        <f t="shared" si="1"/>
        <v/>
      </c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26"/>
      <c r="AB335" s="7"/>
      <c r="AC335" s="7"/>
      <c r="AD335" s="7"/>
      <c r="AE335" s="7"/>
      <c r="AF335" s="7"/>
      <c r="AG335" s="7"/>
    </row>
    <row r="336" spans="1:33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 t="str">
        <f t="shared" si="1"/>
        <v/>
      </c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26"/>
      <c r="AB336" s="7"/>
      <c r="AC336" s="7"/>
      <c r="AD336" s="7"/>
      <c r="AE336" s="7"/>
      <c r="AF336" s="7"/>
      <c r="AG336" s="7"/>
    </row>
    <row r="337" spans="1:33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 t="str">
        <f t="shared" si="1"/>
        <v/>
      </c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26"/>
      <c r="AB337" s="7"/>
      <c r="AC337" s="7"/>
      <c r="AD337" s="7"/>
      <c r="AE337" s="7"/>
      <c r="AF337" s="7"/>
      <c r="AG337" s="7"/>
    </row>
    <row r="338" spans="1:33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 t="str">
        <f t="shared" si="1"/>
        <v/>
      </c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26"/>
      <c r="AB338" s="7"/>
      <c r="AC338" s="7"/>
      <c r="AD338" s="7"/>
      <c r="AE338" s="7"/>
      <c r="AF338" s="7"/>
      <c r="AG338" s="7"/>
    </row>
    <row r="339" spans="1:33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 t="str">
        <f t="shared" si="1"/>
        <v/>
      </c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26"/>
      <c r="AB339" s="7"/>
      <c r="AC339" s="7"/>
      <c r="AD339" s="7"/>
      <c r="AE339" s="7"/>
      <c r="AF339" s="7"/>
      <c r="AG339" s="7"/>
    </row>
    <row r="340" spans="1:33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 t="str">
        <f t="shared" si="1"/>
        <v/>
      </c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26"/>
      <c r="AB340" s="7"/>
      <c r="AC340" s="7"/>
      <c r="AD340" s="7"/>
      <c r="AE340" s="7"/>
      <c r="AF340" s="7"/>
      <c r="AG340" s="7"/>
    </row>
    <row r="341" spans="1:33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 t="str">
        <f t="shared" si="1"/>
        <v/>
      </c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26"/>
      <c r="AB341" s="7"/>
      <c r="AC341" s="7"/>
      <c r="AD341" s="7"/>
      <c r="AE341" s="7"/>
      <c r="AF341" s="7"/>
      <c r="AG341" s="7"/>
    </row>
    <row r="342" spans="1:33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 t="str">
        <f t="shared" si="1"/>
        <v/>
      </c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26"/>
      <c r="AB342" s="7"/>
      <c r="AC342" s="7"/>
      <c r="AD342" s="7"/>
      <c r="AE342" s="7"/>
      <c r="AF342" s="7"/>
      <c r="AG342" s="7"/>
    </row>
    <row r="343" spans="1:33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 t="str">
        <f t="shared" si="1"/>
        <v/>
      </c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26"/>
      <c r="AB343" s="7"/>
      <c r="AC343" s="7"/>
      <c r="AD343" s="7"/>
      <c r="AE343" s="7"/>
      <c r="AF343" s="7"/>
      <c r="AG343" s="7"/>
    </row>
    <row r="344" spans="1:33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 t="str">
        <f t="shared" si="1"/>
        <v/>
      </c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26"/>
      <c r="AB344" s="7"/>
      <c r="AC344" s="7"/>
      <c r="AD344" s="7"/>
      <c r="AE344" s="7"/>
      <c r="AF344" s="7"/>
      <c r="AG344" s="7"/>
    </row>
    <row r="345" spans="1:33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 t="str">
        <f t="shared" si="1"/>
        <v/>
      </c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26"/>
      <c r="AB345" s="7"/>
      <c r="AC345" s="7"/>
      <c r="AD345" s="7"/>
      <c r="AE345" s="7"/>
      <c r="AF345" s="7"/>
      <c r="AG345" s="7"/>
    </row>
    <row r="346" spans="1:33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 t="str">
        <f t="shared" si="1"/>
        <v/>
      </c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26"/>
      <c r="AB346" s="7"/>
      <c r="AC346" s="7"/>
      <c r="AD346" s="7"/>
      <c r="AE346" s="7"/>
      <c r="AF346" s="7"/>
      <c r="AG346" s="7"/>
    </row>
    <row r="347" spans="1:33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 t="str">
        <f t="shared" si="1"/>
        <v/>
      </c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26"/>
      <c r="AB347" s="7"/>
      <c r="AC347" s="7"/>
      <c r="AD347" s="7"/>
      <c r="AE347" s="7"/>
      <c r="AF347" s="7"/>
      <c r="AG347" s="7"/>
    </row>
    <row r="348" spans="1:33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 t="str">
        <f t="shared" si="1"/>
        <v/>
      </c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26"/>
      <c r="AB348" s="7"/>
      <c r="AC348" s="7"/>
      <c r="AD348" s="7"/>
      <c r="AE348" s="7"/>
      <c r="AF348" s="7"/>
      <c r="AG348" s="7"/>
    </row>
    <row r="349" spans="1:33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 t="str">
        <f t="shared" si="1"/>
        <v/>
      </c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26"/>
      <c r="AB349" s="7"/>
      <c r="AC349" s="7"/>
      <c r="AD349" s="7"/>
      <c r="AE349" s="7"/>
      <c r="AF349" s="7"/>
      <c r="AG349" s="7"/>
    </row>
    <row r="350" spans="1:33" x14ac:dyDescent="0.25">
      <c r="A350" s="7"/>
      <c r="B350" s="7"/>
      <c r="C350" s="7"/>
      <c r="D350" s="7"/>
      <c r="E350" s="7"/>
      <c r="F350" s="7"/>
      <c r="G350" s="7"/>
      <c r="H350" s="7"/>
      <c r="I350" s="7" t="e">
        <f t="array" ref="I350">TRANSPOSE('[8]Form Responses OSCE Station 8'!N2:BC2)</f>
        <v>#REF!</v>
      </c>
      <c r="J350" s="7"/>
      <c r="K350" s="7"/>
      <c r="L350" s="7"/>
      <c r="M350" s="7"/>
      <c r="N350" s="7" t="e">
        <f t="shared" si="1"/>
        <v>#REF!</v>
      </c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26"/>
      <c r="AB350" s="7"/>
      <c r="AC350" s="7"/>
      <c r="AD350" s="7"/>
      <c r="AE350" s="7"/>
      <c r="AF350" s="7"/>
      <c r="AG350" s="7"/>
    </row>
    <row r="351" spans="1:33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 t="str">
        <f t="shared" si="1"/>
        <v/>
      </c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26"/>
      <c r="AB351" s="7"/>
      <c r="AC351" s="7"/>
      <c r="AD351" s="7"/>
      <c r="AE351" s="7"/>
      <c r="AF351" s="7"/>
      <c r="AG351" s="7"/>
    </row>
    <row r="352" spans="1:33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 t="str">
        <f t="shared" si="1"/>
        <v/>
      </c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26"/>
      <c r="AB352" s="7"/>
      <c r="AC352" s="7"/>
      <c r="AD352" s="7"/>
      <c r="AE352" s="7"/>
      <c r="AF352" s="7"/>
      <c r="AG352" s="7"/>
    </row>
    <row r="353" spans="1:33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 t="str">
        <f t="shared" si="1"/>
        <v/>
      </c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26"/>
      <c r="AB353" s="7"/>
      <c r="AC353" s="7"/>
      <c r="AD353" s="7"/>
      <c r="AE353" s="7"/>
      <c r="AF353" s="7"/>
      <c r="AG353" s="7"/>
    </row>
    <row r="354" spans="1:33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 t="str">
        <f t="shared" si="1"/>
        <v/>
      </c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26"/>
      <c r="AB354" s="7"/>
      <c r="AC354" s="7"/>
      <c r="AD354" s="7"/>
      <c r="AE354" s="7"/>
      <c r="AF354" s="7"/>
      <c r="AG354" s="7"/>
    </row>
    <row r="355" spans="1:33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 t="str">
        <f t="shared" si="1"/>
        <v/>
      </c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26"/>
      <c r="AB355" s="7"/>
      <c r="AC355" s="7"/>
      <c r="AD355" s="7"/>
      <c r="AE355" s="7"/>
      <c r="AF355" s="7"/>
      <c r="AG355" s="7"/>
    </row>
    <row r="356" spans="1:33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 t="str">
        <f t="shared" si="1"/>
        <v/>
      </c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26"/>
      <c r="AB356" s="7"/>
      <c r="AC356" s="7"/>
      <c r="AD356" s="7"/>
      <c r="AE356" s="7"/>
      <c r="AF356" s="7"/>
      <c r="AG356" s="7"/>
    </row>
    <row r="357" spans="1:33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 t="str">
        <f t="shared" si="1"/>
        <v/>
      </c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26"/>
      <c r="AB357" s="7"/>
      <c r="AC357" s="7"/>
      <c r="AD357" s="7"/>
      <c r="AE357" s="7"/>
      <c r="AF357" s="7"/>
      <c r="AG357" s="7"/>
    </row>
    <row r="358" spans="1:33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 t="str">
        <f t="shared" si="1"/>
        <v/>
      </c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26"/>
      <c r="AB358" s="7"/>
      <c r="AC358" s="7"/>
      <c r="AD358" s="7"/>
      <c r="AE358" s="7"/>
      <c r="AF358" s="7"/>
      <c r="AG358" s="7"/>
    </row>
    <row r="359" spans="1:33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 t="str">
        <f t="shared" si="1"/>
        <v/>
      </c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26"/>
      <c r="AB359" s="7"/>
      <c r="AC359" s="7"/>
      <c r="AD359" s="7"/>
      <c r="AE359" s="7"/>
      <c r="AF359" s="7"/>
      <c r="AG359" s="7"/>
    </row>
    <row r="360" spans="1:33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 t="str">
        <f t="shared" si="1"/>
        <v/>
      </c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26"/>
      <c r="AB360" s="7"/>
      <c r="AC360" s="7"/>
      <c r="AD360" s="7"/>
      <c r="AE360" s="7"/>
      <c r="AF360" s="7"/>
      <c r="AG360" s="7"/>
    </row>
    <row r="361" spans="1:33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 t="str">
        <f t="shared" si="1"/>
        <v/>
      </c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26"/>
      <c r="AB361" s="7"/>
      <c r="AC361" s="7"/>
      <c r="AD361" s="7"/>
      <c r="AE361" s="7"/>
      <c r="AF361" s="7"/>
      <c r="AG361" s="7"/>
    </row>
    <row r="362" spans="1:33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 t="str">
        <f t="shared" si="1"/>
        <v/>
      </c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26"/>
      <c r="AB362" s="7"/>
      <c r="AC362" s="7"/>
      <c r="AD362" s="7"/>
      <c r="AE362" s="7"/>
      <c r="AF362" s="7"/>
      <c r="AG362" s="7"/>
    </row>
    <row r="363" spans="1:33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 t="str">
        <f t="shared" si="1"/>
        <v/>
      </c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26"/>
      <c r="AB363" s="7"/>
      <c r="AC363" s="7"/>
      <c r="AD363" s="7"/>
      <c r="AE363" s="7"/>
      <c r="AF363" s="7"/>
      <c r="AG363" s="7"/>
    </row>
    <row r="364" spans="1:33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 t="str">
        <f t="shared" si="1"/>
        <v/>
      </c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26"/>
      <c r="AB364" s="7"/>
      <c r="AC364" s="7"/>
      <c r="AD364" s="7"/>
      <c r="AE364" s="7"/>
      <c r="AF364" s="7"/>
      <c r="AG364" s="7"/>
    </row>
    <row r="365" spans="1:33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 t="str">
        <f t="shared" si="1"/>
        <v/>
      </c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26"/>
      <c r="AB365" s="7"/>
      <c r="AC365" s="7"/>
      <c r="AD365" s="7"/>
      <c r="AE365" s="7"/>
      <c r="AF365" s="7"/>
      <c r="AG365" s="7"/>
    </row>
    <row r="366" spans="1:33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 t="str">
        <f t="shared" si="1"/>
        <v/>
      </c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26"/>
      <c r="AB366" s="7"/>
      <c r="AC366" s="7"/>
      <c r="AD366" s="7"/>
      <c r="AE366" s="7"/>
      <c r="AF366" s="7"/>
      <c r="AG366" s="7"/>
    </row>
    <row r="367" spans="1:33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 t="str">
        <f t="shared" si="1"/>
        <v/>
      </c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26"/>
      <c r="AB367" s="7"/>
      <c r="AC367" s="7"/>
      <c r="AD367" s="7"/>
      <c r="AE367" s="7"/>
      <c r="AF367" s="7"/>
      <c r="AG367" s="7"/>
    </row>
    <row r="368" spans="1:33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 t="str">
        <f t="shared" si="1"/>
        <v/>
      </c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26"/>
      <c r="AB368" s="7"/>
      <c r="AC368" s="7"/>
      <c r="AD368" s="7"/>
      <c r="AE368" s="7"/>
      <c r="AF368" s="7"/>
      <c r="AG368" s="7"/>
    </row>
    <row r="369" spans="1:33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 t="str">
        <f t="shared" si="1"/>
        <v/>
      </c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26"/>
      <c r="AB369" s="7"/>
      <c r="AC369" s="7"/>
      <c r="AD369" s="7"/>
      <c r="AE369" s="7"/>
      <c r="AF369" s="7"/>
      <c r="AG369" s="7"/>
    </row>
    <row r="370" spans="1:33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 t="str">
        <f t="shared" si="1"/>
        <v/>
      </c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26"/>
      <c r="AB370" s="7"/>
      <c r="AC370" s="7"/>
      <c r="AD370" s="7"/>
      <c r="AE370" s="7"/>
      <c r="AF370" s="7"/>
      <c r="AG370" s="7"/>
    </row>
    <row r="371" spans="1:33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 t="str">
        <f t="shared" si="1"/>
        <v/>
      </c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26"/>
      <c r="AB371" s="7"/>
      <c r="AC371" s="7"/>
      <c r="AD371" s="7"/>
      <c r="AE371" s="7"/>
      <c r="AF371" s="7"/>
      <c r="AG371" s="7"/>
    </row>
    <row r="372" spans="1:33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 t="str">
        <f t="shared" si="1"/>
        <v/>
      </c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26"/>
      <c r="AB372" s="7"/>
      <c r="AC372" s="7"/>
      <c r="AD372" s="7"/>
      <c r="AE372" s="7"/>
      <c r="AF372" s="7"/>
      <c r="AG372" s="7"/>
    </row>
    <row r="373" spans="1:33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 t="str">
        <f t="shared" si="1"/>
        <v/>
      </c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26"/>
      <c r="AB373" s="7"/>
      <c r="AC373" s="7"/>
      <c r="AD373" s="7"/>
      <c r="AE373" s="7"/>
      <c r="AF373" s="7"/>
      <c r="AG373" s="7"/>
    </row>
    <row r="374" spans="1:33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 t="str">
        <f t="shared" si="1"/>
        <v/>
      </c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26"/>
      <c r="AB374" s="7"/>
      <c r="AC374" s="7"/>
      <c r="AD374" s="7"/>
      <c r="AE374" s="7"/>
      <c r="AF374" s="7"/>
      <c r="AG374" s="7"/>
    </row>
    <row r="375" spans="1:33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 t="str">
        <f t="shared" si="1"/>
        <v/>
      </c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26"/>
      <c r="AB375" s="7"/>
      <c r="AC375" s="7"/>
      <c r="AD375" s="7"/>
      <c r="AE375" s="7"/>
      <c r="AF375" s="7"/>
      <c r="AG375" s="7"/>
    </row>
    <row r="376" spans="1:33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 t="str">
        <f t="shared" si="1"/>
        <v/>
      </c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26"/>
      <c r="AB376" s="7"/>
      <c r="AC376" s="7"/>
      <c r="AD376" s="7"/>
      <c r="AE376" s="7"/>
      <c r="AF376" s="7"/>
      <c r="AG376" s="7"/>
    </row>
    <row r="377" spans="1:33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 t="str">
        <f t="shared" si="1"/>
        <v/>
      </c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26"/>
      <c r="AB377" s="7"/>
      <c r="AC377" s="7"/>
      <c r="AD377" s="7"/>
      <c r="AE377" s="7"/>
      <c r="AF377" s="7"/>
      <c r="AG377" s="7"/>
    </row>
    <row r="378" spans="1:33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 t="str">
        <f t="shared" si="1"/>
        <v/>
      </c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26"/>
      <c r="AB378" s="7"/>
      <c r="AC378" s="7"/>
      <c r="AD378" s="7"/>
      <c r="AE378" s="7"/>
      <c r="AF378" s="7"/>
      <c r="AG378" s="7"/>
    </row>
    <row r="379" spans="1:33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 t="str">
        <f t="shared" si="1"/>
        <v/>
      </c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26"/>
      <c r="AB379" s="7"/>
      <c r="AC379" s="7"/>
      <c r="AD379" s="7"/>
      <c r="AE379" s="7"/>
      <c r="AF379" s="7"/>
      <c r="AG379" s="7"/>
    </row>
    <row r="380" spans="1:33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 t="str">
        <f t="shared" si="1"/>
        <v/>
      </c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26"/>
      <c r="AB380" s="7"/>
      <c r="AC380" s="7"/>
      <c r="AD380" s="7"/>
      <c r="AE380" s="7"/>
      <c r="AF380" s="7"/>
      <c r="AG380" s="7"/>
    </row>
    <row r="381" spans="1:33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 t="str">
        <f t="shared" si="1"/>
        <v/>
      </c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26"/>
      <c r="AB381" s="7"/>
      <c r="AC381" s="7"/>
      <c r="AD381" s="7"/>
      <c r="AE381" s="7"/>
      <c r="AF381" s="7"/>
      <c r="AG381" s="7"/>
    </row>
    <row r="382" spans="1:33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 t="str">
        <f t="shared" si="1"/>
        <v/>
      </c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26"/>
      <c r="AB382" s="7"/>
      <c r="AC382" s="7"/>
      <c r="AD382" s="7"/>
      <c r="AE382" s="7"/>
      <c r="AF382" s="7"/>
      <c r="AG382" s="7"/>
    </row>
    <row r="383" spans="1:33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 t="str">
        <f t="shared" si="1"/>
        <v/>
      </c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26"/>
      <c r="AB383" s="7"/>
      <c r="AC383" s="7"/>
      <c r="AD383" s="7"/>
      <c r="AE383" s="7"/>
      <c r="AF383" s="7"/>
      <c r="AG383" s="7"/>
    </row>
    <row r="384" spans="1:33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 t="str">
        <f t="shared" si="1"/>
        <v/>
      </c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26"/>
      <c r="AB384" s="7"/>
      <c r="AC384" s="7"/>
      <c r="AD384" s="7"/>
      <c r="AE384" s="7"/>
      <c r="AF384" s="7"/>
      <c r="AG384" s="7"/>
    </row>
    <row r="385" spans="1:33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 t="str">
        <f t="shared" si="1"/>
        <v/>
      </c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26"/>
      <c r="AB385" s="7"/>
      <c r="AC385" s="7"/>
      <c r="AD385" s="7"/>
      <c r="AE385" s="7"/>
      <c r="AF385" s="7"/>
      <c r="AG385" s="7"/>
    </row>
    <row r="386" spans="1:33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 t="str">
        <f t="shared" si="1"/>
        <v/>
      </c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26"/>
      <c r="AB386" s="7"/>
      <c r="AC386" s="7"/>
      <c r="AD386" s="7"/>
      <c r="AE386" s="7"/>
      <c r="AF386" s="7"/>
      <c r="AG386" s="7"/>
    </row>
    <row r="387" spans="1:33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 t="str">
        <f t="shared" si="1"/>
        <v/>
      </c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26"/>
      <c r="AB387" s="7"/>
      <c r="AC387" s="7"/>
      <c r="AD387" s="7"/>
      <c r="AE387" s="7"/>
      <c r="AF387" s="7"/>
      <c r="AG387" s="7"/>
    </row>
    <row r="388" spans="1:33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 t="str">
        <f t="shared" si="1"/>
        <v/>
      </c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26"/>
      <c r="AB388" s="7"/>
      <c r="AC388" s="7"/>
      <c r="AD388" s="7"/>
      <c r="AE388" s="7"/>
      <c r="AF388" s="7"/>
      <c r="AG388" s="7"/>
    </row>
    <row r="389" spans="1:33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 t="str">
        <f t="shared" si="1"/>
        <v/>
      </c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26"/>
      <c r="AB389" s="7"/>
      <c r="AC389" s="7"/>
      <c r="AD389" s="7"/>
      <c r="AE389" s="7"/>
      <c r="AF389" s="7"/>
      <c r="AG389" s="7"/>
    </row>
    <row r="390" spans="1:33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 t="str">
        <f t="shared" si="1"/>
        <v/>
      </c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26"/>
      <c r="AB390" s="7"/>
      <c r="AC390" s="7"/>
      <c r="AD390" s="7"/>
      <c r="AE390" s="7"/>
      <c r="AF390" s="7"/>
      <c r="AG390" s="7"/>
    </row>
    <row r="391" spans="1:33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 t="str">
        <f t="shared" si="1"/>
        <v/>
      </c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26"/>
      <c r="AB391" s="7"/>
      <c r="AC391" s="7"/>
      <c r="AD391" s="7"/>
      <c r="AE391" s="7"/>
      <c r="AF391" s="7"/>
      <c r="AG391" s="7"/>
    </row>
    <row r="392" spans="1:33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 t="str">
        <f t="shared" si="1"/>
        <v/>
      </c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26"/>
      <c r="AB392" s="7"/>
      <c r="AC392" s="7"/>
      <c r="AD392" s="7"/>
      <c r="AE392" s="7"/>
      <c r="AF392" s="7"/>
      <c r="AG392" s="7"/>
    </row>
    <row r="393" spans="1:33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 t="str">
        <f t="shared" si="1"/>
        <v/>
      </c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26"/>
      <c r="AB393" s="7"/>
      <c r="AC393" s="7"/>
      <c r="AD393" s="7"/>
      <c r="AE393" s="7"/>
      <c r="AF393" s="7"/>
      <c r="AG393" s="7"/>
    </row>
    <row r="394" spans="1:33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 t="str">
        <f t="shared" si="1"/>
        <v/>
      </c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26"/>
      <c r="AB394" s="7"/>
      <c r="AC394" s="7"/>
      <c r="AD394" s="7"/>
      <c r="AE394" s="7"/>
      <c r="AF394" s="7"/>
      <c r="AG394" s="7"/>
    </row>
    <row r="395" spans="1:33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 t="str">
        <f t="shared" si="1"/>
        <v/>
      </c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26"/>
      <c r="AB395" s="7"/>
      <c r="AC395" s="7"/>
      <c r="AD395" s="7"/>
      <c r="AE395" s="7"/>
      <c r="AF395" s="7"/>
      <c r="AG395" s="7"/>
    </row>
    <row r="396" spans="1:33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 t="str">
        <f t="shared" si="1"/>
        <v/>
      </c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26"/>
      <c r="AB396" s="7"/>
      <c r="AC396" s="7"/>
      <c r="AD396" s="7"/>
      <c r="AE396" s="7"/>
      <c r="AF396" s="7"/>
      <c r="AG396" s="7"/>
    </row>
    <row r="397" spans="1:33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 t="str">
        <f t="shared" si="1"/>
        <v/>
      </c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26"/>
      <c r="AB397" s="7"/>
      <c r="AC397" s="7"/>
      <c r="AD397" s="7"/>
      <c r="AE397" s="7"/>
      <c r="AF397" s="7"/>
      <c r="AG397" s="7"/>
    </row>
    <row r="398" spans="1:33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 t="str">
        <f t="shared" si="1"/>
        <v/>
      </c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26"/>
      <c r="AB398" s="7"/>
      <c r="AC398" s="7"/>
      <c r="AD398" s="7"/>
      <c r="AE398" s="7"/>
      <c r="AF398" s="7"/>
      <c r="AG398" s="7"/>
    </row>
    <row r="399" spans="1:33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 t="str">
        <f t="shared" si="1"/>
        <v/>
      </c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26"/>
      <c r="AB399" s="7"/>
      <c r="AC399" s="7"/>
      <c r="AD399" s="7"/>
      <c r="AE399" s="7"/>
      <c r="AF399" s="7"/>
      <c r="AG399" s="7"/>
    </row>
    <row r="400" spans="1:33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 t="e">
        <f t="array" ref="J400">TRANSPOSE('[9]Form Responses OSCE Station 9'!N2:BC2)</f>
        <v>#REF!</v>
      </c>
      <c r="K400" s="7"/>
      <c r="L400" s="7"/>
      <c r="M400" s="7"/>
      <c r="N400" s="7" t="e">
        <f t="shared" si="1"/>
        <v>#REF!</v>
      </c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26"/>
      <c r="AB400" s="7"/>
      <c r="AC400" s="7"/>
      <c r="AD400" s="7"/>
      <c r="AE400" s="7"/>
      <c r="AF400" s="7"/>
      <c r="AG400" s="7"/>
    </row>
    <row r="401" spans="1:33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 t="str">
        <f t="shared" si="1"/>
        <v/>
      </c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26"/>
      <c r="AB401" s="7"/>
      <c r="AC401" s="7"/>
      <c r="AD401" s="7"/>
      <c r="AE401" s="7"/>
      <c r="AF401" s="7"/>
      <c r="AG401" s="7"/>
    </row>
    <row r="402" spans="1:33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 t="str">
        <f t="shared" si="1"/>
        <v/>
      </c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26"/>
      <c r="AB402" s="7"/>
      <c r="AC402" s="7"/>
      <c r="AD402" s="7"/>
      <c r="AE402" s="7"/>
      <c r="AF402" s="7"/>
      <c r="AG402" s="7"/>
    </row>
    <row r="403" spans="1:33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 t="str">
        <f t="shared" si="1"/>
        <v/>
      </c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26"/>
      <c r="AB403" s="7"/>
      <c r="AC403" s="7"/>
      <c r="AD403" s="7"/>
      <c r="AE403" s="7"/>
      <c r="AF403" s="7"/>
      <c r="AG403" s="7"/>
    </row>
    <row r="404" spans="1:33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 t="str">
        <f t="shared" si="1"/>
        <v/>
      </c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26"/>
      <c r="AB404" s="7"/>
      <c r="AC404" s="7"/>
      <c r="AD404" s="7"/>
      <c r="AE404" s="7"/>
      <c r="AF404" s="7"/>
      <c r="AG404" s="7"/>
    </row>
    <row r="405" spans="1:33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 t="str">
        <f t="shared" si="1"/>
        <v/>
      </c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26"/>
      <c r="AB405" s="7"/>
      <c r="AC405" s="7"/>
      <c r="AD405" s="7"/>
      <c r="AE405" s="7"/>
      <c r="AF405" s="7"/>
      <c r="AG405" s="7"/>
    </row>
    <row r="406" spans="1:33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 t="str">
        <f t="shared" si="1"/>
        <v/>
      </c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26"/>
      <c r="AB406" s="7"/>
      <c r="AC406" s="7"/>
      <c r="AD406" s="7"/>
      <c r="AE406" s="7"/>
      <c r="AF406" s="7"/>
      <c r="AG406" s="7"/>
    </row>
    <row r="407" spans="1:33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 t="str">
        <f t="shared" si="1"/>
        <v/>
      </c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26"/>
      <c r="AB407" s="7"/>
      <c r="AC407" s="7"/>
      <c r="AD407" s="7"/>
      <c r="AE407" s="7"/>
      <c r="AF407" s="7"/>
      <c r="AG407" s="7"/>
    </row>
    <row r="408" spans="1:33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 t="str">
        <f t="shared" si="1"/>
        <v/>
      </c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26"/>
      <c r="AB408" s="7"/>
      <c r="AC408" s="7"/>
      <c r="AD408" s="7"/>
      <c r="AE408" s="7"/>
      <c r="AF408" s="7"/>
      <c r="AG408" s="7"/>
    </row>
    <row r="409" spans="1:33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 t="str">
        <f t="shared" si="1"/>
        <v/>
      </c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26"/>
      <c r="AB409" s="7"/>
      <c r="AC409" s="7"/>
      <c r="AD409" s="7"/>
      <c r="AE409" s="7"/>
      <c r="AF409" s="7"/>
      <c r="AG409" s="7"/>
    </row>
    <row r="410" spans="1:33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 t="str">
        <f t="shared" si="1"/>
        <v/>
      </c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26"/>
      <c r="AB410" s="7"/>
      <c r="AC410" s="7"/>
      <c r="AD410" s="7"/>
      <c r="AE410" s="7"/>
      <c r="AF410" s="7"/>
      <c r="AG410" s="7"/>
    </row>
    <row r="411" spans="1:33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 t="str">
        <f t="shared" si="1"/>
        <v/>
      </c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26"/>
      <c r="AB411" s="7"/>
      <c r="AC411" s="7"/>
      <c r="AD411" s="7"/>
      <c r="AE411" s="7"/>
      <c r="AF411" s="7"/>
      <c r="AG411" s="7"/>
    </row>
    <row r="412" spans="1:33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 t="str">
        <f t="shared" si="1"/>
        <v/>
      </c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26"/>
      <c r="AB412" s="7"/>
      <c r="AC412" s="7"/>
      <c r="AD412" s="7"/>
      <c r="AE412" s="7"/>
      <c r="AF412" s="7"/>
      <c r="AG412" s="7"/>
    </row>
    <row r="413" spans="1:33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 t="str">
        <f t="shared" si="1"/>
        <v/>
      </c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26"/>
      <c r="AB413" s="7"/>
      <c r="AC413" s="7"/>
      <c r="AD413" s="7"/>
      <c r="AE413" s="7"/>
      <c r="AF413" s="7"/>
      <c r="AG413" s="7"/>
    </row>
    <row r="414" spans="1:33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 t="str">
        <f t="shared" si="1"/>
        <v/>
      </c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26"/>
      <c r="AB414" s="7"/>
      <c r="AC414" s="7"/>
      <c r="AD414" s="7"/>
      <c r="AE414" s="7"/>
      <c r="AF414" s="7"/>
      <c r="AG414" s="7"/>
    </row>
    <row r="415" spans="1:33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 t="str">
        <f t="shared" si="1"/>
        <v/>
      </c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26"/>
      <c r="AB415" s="7"/>
      <c r="AC415" s="7"/>
      <c r="AD415" s="7"/>
      <c r="AE415" s="7"/>
      <c r="AF415" s="7"/>
      <c r="AG415" s="7"/>
    </row>
    <row r="416" spans="1:33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 t="str">
        <f t="shared" si="1"/>
        <v/>
      </c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26"/>
      <c r="AB416" s="7"/>
      <c r="AC416" s="7"/>
      <c r="AD416" s="7"/>
      <c r="AE416" s="7"/>
      <c r="AF416" s="7"/>
      <c r="AG416" s="7"/>
    </row>
    <row r="417" spans="1:33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 t="str">
        <f t="shared" si="1"/>
        <v/>
      </c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26"/>
      <c r="AB417" s="7"/>
      <c r="AC417" s="7"/>
      <c r="AD417" s="7"/>
      <c r="AE417" s="7"/>
      <c r="AF417" s="7"/>
      <c r="AG417" s="7"/>
    </row>
    <row r="418" spans="1:33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 t="str">
        <f t="shared" si="1"/>
        <v/>
      </c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26"/>
      <c r="AB418" s="7"/>
      <c r="AC418" s="7"/>
      <c r="AD418" s="7"/>
      <c r="AE418" s="7"/>
      <c r="AF418" s="7"/>
      <c r="AG418" s="7"/>
    </row>
    <row r="419" spans="1:33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 t="str">
        <f t="shared" si="1"/>
        <v/>
      </c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26"/>
      <c r="AB419" s="7"/>
      <c r="AC419" s="7"/>
      <c r="AD419" s="7"/>
      <c r="AE419" s="7"/>
      <c r="AF419" s="7"/>
      <c r="AG419" s="7"/>
    </row>
    <row r="420" spans="1:33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 t="str">
        <f t="shared" si="1"/>
        <v/>
      </c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26"/>
      <c r="AB420" s="7"/>
      <c r="AC420" s="7"/>
      <c r="AD420" s="7"/>
      <c r="AE420" s="7"/>
      <c r="AF420" s="7"/>
      <c r="AG420" s="7"/>
    </row>
    <row r="421" spans="1:33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 t="str">
        <f t="shared" si="1"/>
        <v/>
      </c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26"/>
      <c r="AB421" s="7"/>
      <c r="AC421" s="7"/>
      <c r="AD421" s="7"/>
      <c r="AE421" s="7"/>
      <c r="AF421" s="7"/>
      <c r="AG421" s="7"/>
    </row>
    <row r="422" spans="1:33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 t="str">
        <f t="shared" si="1"/>
        <v/>
      </c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26"/>
      <c r="AB422" s="7"/>
      <c r="AC422" s="7"/>
      <c r="AD422" s="7"/>
      <c r="AE422" s="7"/>
      <c r="AF422" s="7"/>
      <c r="AG422" s="7"/>
    </row>
    <row r="423" spans="1:33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 t="str">
        <f t="shared" si="1"/>
        <v/>
      </c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26"/>
      <c r="AB423" s="7"/>
      <c r="AC423" s="7"/>
      <c r="AD423" s="7"/>
      <c r="AE423" s="7"/>
      <c r="AF423" s="7"/>
      <c r="AG423" s="7"/>
    </row>
    <row r="424" spans="1:33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 t="str">
        <f t="shared" si="1"/>
        <v/>
      </c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26"/>
      <c r="AB424" s="7"/>
      <c r="AC424" s="7"/>
      <c r="AD424" s="7"/>
      <c r="AE424" s="7"/>
      <c r="AF424" s="7"/>
      <c r="AG424" s="7"/>
    </row>
    <row r="425" spans="1:33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 t="str">
        <f t="shared" si="1"/>
        <v/>
      </c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26"/>
      <c r="AB425" s="7"/>
      <c r="AC425" s="7"/>
      <c r="AD425" s="7"/>
      <c r="AE425" s="7"/>
      <c r="AF425" s="7"/>
      <c r="AG425" s="7"/>
    </row>
    <row r="426" spans="1:33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 t="str">
        <f t="shared" si="1"/>
        <v/>
      </c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26"/>
      <c r="AB426" s="7"/>
      <c r="AC426" s="7"/>
      <c r="AD426" s="7"/>
      <c r="AE426" s="7"/>
      <c r="AF426" s="7"/>
      <c r="AG426" s="7"/>
    </row>
    <row r="427" spans="1:33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 t="str">
        <f t="shared" si="1"/>
        <v/>
      </c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26"/>
      <c r="AB427" s="7"/>
      <c r="AC427" s="7"/>
      <c r="AD427" s="7"/>
      <c r="AE427" s="7"/>
      <c r="AF427" s="7"/>
      <c r="AG427" s="7"/>
    </row>
    <row r="428" spans="1:33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 t="str">
        <f t="shared" si="1"/>
        <v/>
      </c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26"/>
      <c r="AB428" s="7"/>
      <c r="AC428" s="7"/>
      <c r="AD428" s="7"/>
      <c r="AE428" s="7"/>
      <c r="AF428" s="7"/>
      <c r="AG428" s="7"/>
    </row>
    <row r="429" spans="1:33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 t="str">
        <f t="shared" si="1"/>
        <v/>
      </c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26"/>
      <c r="AB429" s="7"/>
      <c r="AC429" s="7"/>
      <c r="AD429" s="7"/>
      <c r="AE429" s="7"/>
      <c r="AF429" s="7"/>
      <c r="AG429" s="7"/>
    </row>
    <row r="430" spans="1:33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 t="str">
        <f t="shared" si="1"/>
        <v/>
      </c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26"/>
      <c r="AB430" s="7"/>
      <c r="AC430" s="7"/>
      <c r="AD430" s="7"/>
      <c r="AE430" s="7"/>
      <c r="AF430" s="7"/>
      <c r="AG430" s="7"/>
    </row>
    <row r="431" spans="1:33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 t="str">
        <f t="shared" si="1"/>
        <v/>
      </c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26"/>
      <c r="AB431" s="7"/>
      <c r="AC431" s="7"/>
      <c r="AD431" s="7"/>
      <c r="AE431" s="7"/>
      <c r="AF431" s="7"/>
      <c r="AG431" s="7"/>
    </row>
    <row r="432" spans="1:33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 t="str">
        <f t="shared" si="1"/>
        <v/>
      </c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26"/>
      <c r="AB432" s="7"/>
      <c r="AC432" s="7"/>
      <c r="AD432" s="7"/>
      <c r="AE432" s="7"/>
      <c r="AF432" s="7"/>
      <c r="AG432" s="7"/>
    </row>
    <row r="433" spans="1:33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 t="str">
        <f t="shared" si="1"/>
        <v/>
      </c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26"/>
      <c r="AB433" s="7"/>
      <c r="AC433" s="7"/>
      <c r="AD433" s="7"/>
      <c r="AE433" s="7"/>
      <c r="AF433" s="7"/>
      <c r="AG433" s="7"/>
    </row>
    <row r="434" spans="1:33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 t="str">
        <f t="shared" si="1"/>
        <v/>
      </c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26"/>
      <c r="AB434" s="7"/>
      <c r="AC434" s="7"/>
      <c r="AD434" s="7"/>
      <c r="AE434" s="7"/>
      <c r="AF434" s="7"/>
      <c r="AG434" s="7"/>
    </row>
    <row r="435" spans="1:33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 t="str">
        <f t="shared" si="1"/>
        <v/>
      </c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26"/>
      <c r="AB435" s="7"/>
      <c r="AC435" s="7"/>
      <c r="AD435" s="7"/>
      <c r="AE435" s="7"/>
      <c r="AF435" s="7"/>
      <c r="AG435" s="7"/>
    </row>
    <row r="436" spans="1:33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 t="str">
        <f t="shared" si="1"/>
        <v/>
      </c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26"/>
      <c r="AB436" s="7"/>
      <c r="AC436" s="7"/>
      <c r="AD436" s="7"/>
      <c r="AE436" s="7"/>
      <c r="AF436" s="7"/>
      <c r="AG436" s="7"/>
    </row>
    <row r="437" spans="1:33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 t="str">
        <f t="shared" si="1"/>
        <v/>
      </c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26"/>
      <c r="AB437" s="7"/>
      <c r="AC437" s="7"/>
      <c r="AD437" s="7"/>
      <c r="AE437" s="7"/>
      <c r="AF437" s="7"/>
      <c r="AG437" s="7"/>
    </row>
    <row r="438" spans="1:33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 t="str">
        <f t="shared" si="1"/>
        <v/>
      </c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26"/>
      <c r="AB438" s="7"/>
      <c r="AC438" s="7"/>
      <c r="AD438" s="7"/>
      <c r="AE438" s="7"/>
      <c r="AF438" s="7"/>
      <c r="AG438" s="7"/>
    </row>
    <row r="439" spans="1:33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 t="str">
        <f t="shared" si="1"/>
        <v/>
      </c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26"/>
      <c r="AB439" s="7"/>
      <c r="AC439" s="7"/>
      <c r="AD439" s="7"/>
      <c r="AE439" s="7"/>
      <c r="AF439" s="7"/>
      <c r="AG439" s="7"/>
    </row>
    <row r="440" spans="1:33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 t="str">
        <f t="shared" si="1"/>
        <v/>
      </c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26"/>
      <c r="AB440" s="7"/>
      <c r="AC440" s="7"/>
      <c r="AD440" s="7"/>
      <c r="AE440" s="7"/>
      <c r="AF440" s="7"/>
      <c r="AG440" s="7"/>
    </row>
    <row r="441" spans="1:33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 t="str">
        <f t="shared" si="1"/>
        <v/>
      </c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26"/>
      <c r="AB441" s="7"/>
      <c r="AC441" s="7"/>
      <c r="AD441" s="7"/>
      <c r="AE441" s="7"/>
      <c r="AF441" s="7"/>
      <c r="AG441" s="7"/>
    </row>
    <row r="442" spans="1:33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 t="str">
        <f t="shared" si="1"/>
        <v/>
      </c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26"/>
      <c r="AB442" s="7"/>
      <c r="AC442" s="7"/>
      <c r="AD442" s="7"/>
      <c r="AE442" s="7"/>
      <c r="AF442" s="7"/>
      <c r="AG442" s="7"/>
    </row>
    <row r="443" spans="1:33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 t="str">
        <f t="shared" si="1"/>
        <v/>
      </c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26"/>
      <c r="AB443" s="7"/>
      <c r="AC443" s="7"/>
      <c r="AD443" s="7"/>
      <c r="AE443" s="7"/>
      <c r="AF443" s="7"/>
      <c r="AG443" s="7"/>
    </row>
    <row r="444" spans="1:33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 t="str">
        <f t="shared" si="1"/>
        <v/>
      </c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26"/>
      <c r="AB444" s="7"/>
      <c r="AC444" s="7"/>
      <c r="AD444" s="7"/>
      <c r="AE444" s="7"/>
      <c r="AF444" s="7"/>
      <c r="AG444" s="7"/>
    </row>
    <row r="445" spans="1:33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 t="str">
        <f t="shared" si="1"/>
        <v/>
      </c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26"/>
      <c r="AB445" s="7"/>
      <c r="AC445" s="7"/>
      <c r="AD445" s="7"/>
      <c r="AE445" s="7"/>
      <c r="AF445" s="7"/>
      <c r="AG445" s="7"/>
    </row>
    <row r="446" spans="1:33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 t="str">
        <f t="shared" si="1"/>
        <v/>
      </c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26"/>
      <c r="AB446" s="7"/>
      <c r="AC446" s="7"/>
      <c r="AD446" s="7"/>
      <c r="AE446" s="7"/>
      <c r="AF446" s="7"/>
      <c r="AG446" s="7"/>
    </row>
    <row r="447" spans="1:33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 t="str">
        <f t="shared" si="1"/>
        <v/>
      </c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26"/>
      <c r="AB447" s="7"/>
      <c r="AC447" s="7"/>
      <c r="AD447" s="7"/>
      <c r="AE447" s="7"/>
      <c r="AF447" s="7"/>
      <c r="AG447" s="7"/>
    </row>
    <row r="448" spans="1:33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 t="str">
        <f t="shared" si="1"/>
        <v/>
      </c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26"/>
      <c r="AB448" s="7"/>
      <c r="AC448" s="7"/>
      <c r="AD448" s="7"/>
      <c r="AE448" s="7"/>
      <c r="AF448" s="7"/>
      <c r="AG448" s="7"/>
    </row>
    <row r="449" spans="1:33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 t="str">
        <f t="shared" si="1"/>
        <v/>
      </c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26"/>
      <c r="AB449" s="7"/>
      <c r="AC449" s="7"/>
      <c r="AD449" s="7"/>
      <c r="AE449" s="7"/>
      <c r="AF449" s="7"/>
      <c r="AG449" s="7"/>
    </row>
    <row r="450" spans="1:33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 t="str">
        <f t="shared" si="1"/>
        <v/>
      </c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26"/>
      <c r="AB450" s="7"/>
      <c r="AC450" s="7"/>
      <c r="AD450" s="7"/>
      <c r="AE450" s="7"/>
      <c r="AF450" s="7"/>
      <c r="AG450" s="7"/>
    </row>
    <row r="451" spans="1:33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 t="str">
        <f t="shared" si="1"/>
        <v/>
      </c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26"/>
      <c r="AB451" s="7"/>
      <c r="AC451" s="7"/>
      <c r="AD451" s="7"/>
      <c r="AE451" s="7"/>
      <c r="AF451" s="7"/>
      <c r="AG451" s="7"/>
    </row>
    <row r="452" spans="1:33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 t="str">
        <f t="shared" si="1"/>
        <v/>
      </c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26"/>
      <c r="AB452" s="7"/>
      <c r="AC452" s="7"/>
      <c r="AD452" s="7"/>
      <c r="AE452" s="7"/>
      <c r="AF452" s="7"/>
      <c r="AG452" s="7"/>
    </row>
    <row r="453" spans="1:33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 t="str">
        <f t="shared" si="1"/>
        <v/>
      </c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26"/>
      <c r="AB453" s="7"/>
      <c r="AC453" s="7"/>
      <c r="AD453" s="7"/>
      <c r="AE453" s="7"/>
      <c r="AF453" s="7"/>
      <c r="AG453" s="7"/>
    </row>
    <row r="454" spans="1:33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 t="str">
        <f t="shared" si="1"/>
        <v/>
      </c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26"/>
      <c r="AB454" s="7"/>
      <c r="AC454" s="7"/>
      <c r="AD454" s="7"/>
      <c r="AE454" s="7"/>
      <c r="AF454" s="7"/>
      <c r="AG454" s="7"/>
    </row>
    <row r="455" spans="1:33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 t="str">
        <f t="shared" si="1"/>
        <v/>
      </c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26"/>
      <c r="AB455" s="7"/>
      <c r="AC455" s="7"/>
      <c r="AD455" s="7"/>
      <c r="AE455" s="7"/>
      <c r="AF455" s="7"/>
      <c r="AG455" s="7"/>
    </row>
    <row r="456" spans="1:33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 t="str">
        <f t="shared" si="1"/>
        <v/>
      </c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26"/>
      <c r="AB456" s="7"/>
      <c r="AC456" s="7"/>
      <c r="AD456" s="7"/>
      <c r="AE456" s="7"/>
      <c r="AF456" s="7"/>
      <c r="AG456" s="7"/>
    </row>
    <row r="457" spans="1:33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 t="str">
        <f t="shared" si="1"/>
        <v/>
      </c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26"/>
      <c r="AB457" s="7"/>
      <c r="AC457" s="7"/>
      <c r="AD457" s="7"/>
      <c r="AE457" s="7"/>
      <c r="AF457" s="7"/>
      <c r="AG457" s="7"/>
    </row>
    <row r="458" spans="1:33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 t="str">
        <f t="shared" si="1"/>
        <v/>
      </c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26"/>
      <c r="AB458" s="7"/>
      <c r="AC458" s="7"/>
      <c r="AD458" s="7"/>
      <c r="AE458" s="7"/>
      <c r="AF458" s="7"/>
      <c r="AG458" s="7"/>
    </row>
    <row r="459" spans="1:33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 t="str">
        <f t="shared" si="1"/>
        <v/>
      </c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26"/>
      <c r="AB459" s="7"/>
      <c r="AC459" s="7"/>
      <c r="AD459" s="7"/>
      <c r="AE459" s="7"/>
      <c r="AF459" s="7"/>
      <c r="AG459" s="7"/>
    </row>
    <row r="460" spans="1:33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 t="e">
        <f t="array" ref="K460">TRANSPOSE('[10]Form Responses OSCE Station 10'!N2:BC2)</f>
        <v>#REF!</v>
      </c>
      <c r="L460" s="7"/>
      <c r="M460" s="7"/>
      <c r="N460" s="7" t="e">
        <f t="shared" si="1"/>
        <v>#REF!</v>
      </c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26"/>
      <c r="AB460" s="7"/>
      <c r="AC460" s="7"/>
      <c r="AD460" s="7"/>
      <c r="AE460" s="7"/>
      <c r="AF460" s="7"/>
      <c r="AG460" s="7"/>
    </row>
    <row r="461" spans="1:33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 t="str">
        <f t="shared" si="1"/>
        <v/>
      </c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26"/>
      <c r="AB461" s="7"/>
      <c r="AC461" s="7"/>
      <c r="AD461" s="7"/>
      <c r="AE461" s="7"/>
      <c r="AF461" s="7"/>
      <c r="AG461" s="7"/>
    </row>
    <row r="462" spans="1:33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 t="str">
        <f t="shared" si="1"/>
        <v/>
      </c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26"/>
      <c r="AB462" s="7"/>
      <c r="AC462" s="7"/>
      <c r="AD462" s="7"/>
      <c r="AE462" s="7"/>
      <c r="AF462" s="7"/>
      <c r="AG462" s="7"/>
    </row>
    <row r="463" spans="1:33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 t="str">
        <f t="shared" si="1"/>
        <v/>
      </c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26"/>
      <c r="AB463" s="7"/>
      <c r="AC463" s="7"/>
      <c r="AD463" s="7"/>
      <c r="AE463" s="7"/>
      <c r="AF463" s="7"/>
      <c r="AG463" s="7"/>
    </row>
    <row r="464" spans="1:33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 t="str">
        <f t="shared" si="1"/>
        <v/>
      </c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26"/>
      <c r="AB464" s="7"/>
      <c r="AC464" s="7"/>
      <c r="AD464" s="7"/>
      <c r="AE464" s="7"/>
      <c r="AF464" s="7"/>
      <c r="AG464" s="7"/>
    </row>
    <row r="465" spans="1:33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 t="str">
        <f t="shared" si="1"/>
        <v/>
      </c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26"/>
      <c r="AB465" s="7"/>
      <c r="AC465" s="7"/>
      <c r="AD465" s="7"/>
      <c r="AE465" s="7"/>
      <c r="AF465" s="7"/>
      <c r="AG465" s="7"/>
    </row>
    <row r="466" spans="1:33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 t="str">
        <f t="shared" si="1"/>
        <v/>
      </c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26"/>
      <c r="AB466" s="7"/>
      <c r="AC466" s="7"/>
      <c r="AD466" s="7"/>
      <c r="AE466" s="7"/>
      <c r="AF466" s="7"/>
      <c r="AG466" s="7"/>
    </row>
    <row r="467" spans="1:33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 t="str">
        <f t="shared" si="1"/>
        <v/>
      </c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26"/>
      <c r="AB467" s="7"/>
      <c r="AC467" s="7"/>
      <c r="AD467" s="7"/>
      <c r="AE467" s="7"/>
      <c r="AF467" s="7"/>
      <c r="AG467" s="7"/>
    </row>
    <row r="468" spans="1:33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 t="str">
        <f t="shared" si="1"/>
        <v/>
      </c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26"/>
      <c r="AB468" s="7"/>
      <c r="AC468" s="7"/>
      <c r="AD468" s="7"/>
      <c r="AE468" s="7"/>
      <c r="AF468" s="7"/>
      <c r="AG468" s="7"/>
    </row>
    <row r="469" spans="1:33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 t="str">
        <f t="shared" si="1"/>
        <v/>
      </c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26"/>
      <c r="AB469" s="7"/>
      <c r="AC469" s="7"/>
      <c r="AD469" s="7"/>
      <c r="AE469" s="7"/>
      <c r="AF469" s="7"/>
      <c r="AG469" s="7"/>
    </row>
    <row r="470" spans="1:33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 t="str">
        <f t="shared" si="1"/>
        <v/>
      </c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26"/>
      <c r="AB470" s="7"/>
      <c r="AC470" s="7"/>
      <c r="AD470" s="7"/>
      <c r="AE470" s="7"/>
      <c r="AF470" s="7"/>
      <c r="AG470" s="7"/>
    </row>
    <row r="471" spans="1:33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 t="str">
        <f t="shared" si="1"/>
        <v/>
      </c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26"/>
      <c r="AB471" s="7"/>
      <c r="AC471" s="7"/>
      <c r="AD471" s="7"/>
      <c r="AE471" s="7"/>
      <c r="AF471" s="7"/>
      <c r="AG471" s="7"/>
    </row>
    <row r="472" spans="1:33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 t="str">
        <f t="shared" si="1"/>
        <v/>
      </c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26"/>
      <c r="AB472" s="7"/>
      <c r="AC472" s="7"/>
      <c r="AD472" s="7"/>
      <c r="AE472" s="7"/>
      <c r="AF472" s="7"/>
      <c r="AG472" s="7"/>
    </row>
    <row r="473" spans="1:33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 t="str">
        <f t="shared" si="1"/>
        <v/>
      </c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26"/>
      <c r="AB473" s="7"/>
      <c r="AC473" s="7"/>
      <c r="AD473" s="7"/>
      <c r="AE473" s="7"/>
      <c r="AF473" s="7"/>
      <c r="AG473" s="7"/>
    </row>
    <row r="474" spans="1:33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 t="str">
        <f t="shared" si="1"/>
        <v/>
      </c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26"/>
      <c r="AB474" s="7"/>
      <c r="AC474" s="7"/>
      <c r="AD474" s="7"/>
      <c r="AE474" s="7"/>
      <c r="AF474" s="7"/>
      <c r="AG474" s="7"/>
    </row>
    <row r="475" spans="1:33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 t="str">
        <f t="shared" si="1"/>
        <v/>
      </c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26"/>
      <c r="AB475" s="7"/>
      <c r="AC475" s="7"/>
      <c r="AD475" s="7"/>
      <c r="AE475" s="7"/>
      <c r="AF475" s="7"/>
      <c r="AG475" s="7"/>
    </row>
    <row r="476" spans="1:33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 t="str">
        <f t="shared" si="1"/>
        <v/>
      </c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26"/>
      <c r="AB476" s="7"/>
      <c r="AC476" s="7"/>
      <c r="AD476" s="7"/>
      <c r="AE476" s="7"/>
      <c r="AF476" s="7"/>
      <c r="AG476" s="7"/>
    </row>
    <row r="477" spans="1:33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 t="str">
        <f t="shared" si="1"/>
        <v/>
      </c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26"/>
      <c r="AB477" s="7"/>
      <c r="AC477" s="7"/>
      <c r="AD477" s="7"/>
      <c r="AE477" s="7"/>
      <c r="AF477" s="7"/>
      <c r="AG477" s="7"/>
    </row>
    <row r="478" spans="1:33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 t="str">
        <f t="shared" si="1"/>
        <v/>
      </c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26"/>
      <c r="AB478" s="7"/>
      <c r="AC478" s="7"/>
      <c r="AD478" s="7"/>
      <c r="AE478" s="7"/>
      <c r="AF478" s="7"/>
      <c r="AG478" s="7"/>
    </row>
    <row r="479" spans="1:33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 t="str">
        <f t="shared" si="1"/>
        <v/>
      </c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26"/>
      <c r="AB479" s="7"/>
      <c r="AC479" s="7"/>
      <c r="AD479" s="7"/>
      <c r="AE479" s="7"/>
      <c r="AF479" s="7"/>
      <c r="AG479" s="7"/>
    </row>
    <row r="480" spans="1:33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 t="str">
        <f t="shared" si="1"/>
        <v/>
      </c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26"/>
      <c r="AB480" s="7"/>
      <c r="AC480" s="7"/>
      <c r="AD480" s="7"/>
      <c r="AE480" s="7"/>
      <c r="AF480" s="7"/>
      <c r="AG480" s="7"/>
    </row>
    <row r="481" spans="1:33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 t="str">
        <f t="shared" si="1"/>
        <v/>
      </c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26"/>
      <c r="AB481" s="7"/>
      <c r="AC481" s="7"/>
      <c r="AD481" s="7"/>
      <c r="AE481" s="7"/>
      <c r="AF481" s="7"/>
      <c r="AG481" s="7"/>
    </row>
    <row r="482" spans="1:33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 t="str">
        <f t="shared" si="1"/>
        <v/>
      </c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26"/>
      <c r="AB482" s="7"/>
      <c r="AC482" s="7"/>
      <c r="AD482" s="7"/>
      <c r="AE482" s="7"/>
      <c r="AF482" s="7"/>
      <c r="AG482" s="7"/>
    </row>
    <row r="483" spans="1:33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 t="str">
        <f t="shared" si="1"/>
        <v/>
      </c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26"/>
      <c r="AB483" s="7"/>
      <c r="AC483" s="7"/>
      <c r="AD483" s="7"/>
      <c r="AE483" s="7"/>
      <c r="AF483" s="7"/>
      <c r="AG483" s="7"/>
    </row>
    <row r="484" spans="1:33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 t="str">
        <f t="shared" si="1"/>
        <v/>
      </c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26"/>
      <c r="AB484" s="7"/>
      <c r="AC484" s="7"/>
      <c r="AD484" s="7"/>
      <c r="AE484" s="7"/>
      <c r="AF484" s="7"/>
      <c r="AG484" s="7"/>
    </row>
    <row r="485" spans="1:33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 t="str">
        <f t="shared" si="1"/>
        <v/>
      </c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26"/>
      <c r="AB485" s="7"/>
      <c r="AC485" s="7"/>
      <c r="AD485" s="7"/>
      <c r="AE485" s="7"/>
      <c r="AF485" s="7"/>
      <c r="AG485" s="7"/>
    </row>
    <row r="486" spans="1:33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 t="str">
        <f t="shared" si="1"/>
        <v/>
      </c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26"/>
      <c r="AB486" s="7"/>
      <c r="AC486" s="7"/>
      <c r="AD486" s="7"/>
      <c r="AE486" s="7"/>
      <c r="AF486" s="7"/>
      <c r="AG486" s="7"/>
    </row>
    <row r="487" spans="1:33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 t="str">
        <f t="shared" si="1"/>
        <v/>
      </c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26"/>
      <c r="AB487" s="7"/>
      <c r="AC487" s="7"/>
      <c r="AD487" s="7"/>
      <c r="AE487" s="7"/>
      <c r="AF487" s="7"/>
      <c r="AG487" s="7"/>
    </row>
    <row r="488" spans="1:33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 t="str">
        <f t="shared" si="1"/>
        <v/>
      </c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26"/>
      <c r="AB488" s="7"/>
      <c r="AC488" s="7"/>
      <c r="AD488" s="7"/>
      <c r="AE488" s="7"/>
      <c r="AF488" s="7"/>
      <c r="AG488" s="7"/>
    </row>
    <row r="489" spans="1:33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 t="str">
        <f t="shared" si="1"/>
        <v/>
      </c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26"/>
      <c r="AB489" s="7"/>
      <c r="AC489" s="7"/>
      <c r="AD489" s="7"/>
      <c r="AE489" s="7"/>
      <c r="AF489" s="7"/>
      <c r="AG489" s="7"/>
    </row>
    <row r="490" spans="1:33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 t="str">
        <f t="shared" si="1"/>
        <v/>
      </c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26"/>
      <c r="AB490" s="7"/>
      <c r="AC490" s="7"/>
      <c r="AD490" s="7"/>
      <c r="AE490" s="7"/>
      <c r="AF490" s="7"/>
      <c r="AG490" s="7"/>
    </row>
    <row r="491" spans="1:33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 t="str">
        <f t="shared" si="1"/>
        <v/>
      </c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26"/>
      <c r="AB491" s="7"/>
      <c r="AC491" s="7"/>
      <c r="AD491" s="7"/>
      <c r="AE491" s="7"/>
      <c r="AF491" s="7"/>
      <c r="AG491" s="7"/>
    </row>
    <row r="492" spans="1:33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 t="str">
        <f t="shared" si="1"/>
        <v/>
      </c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26"/>
      <c r="AB492" s="7"/>
      <c r="AC492" s="7"/>
      <c r="AD492" s="7"/>
      <c r="AE492" s="7"/>
      <c r="AF492" s="7"/>
      <c r="AG492" s="7"/>
    </row>
    <row r="493" spans="1:33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 t="str">
        <f t="shared" si="1"/>
        <v/>
      </c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26"/>
      <c r="AB493" s="7"/>
      <c r="AC493" s="7"/>
      <c r="AD493" s="7"/>
      <c r="AE493" s="7"/>
      <c r="AF493" s="7"/>
      <c r="AG493" s="7"/>
    </row>
    <row r="494" spans="1:33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 t="str">
        <f t="shared" si="1"/>
        <v/>
      </c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26"/>
      <c r="AB494" s="7"/>
      <c r="AC494" s="7"/>
      <c r="AD494" s="7"/>
      <c r="AE494" s="7"/>
      <c r="AF494" s="7"/>
      <c r="AG494" s="7"/>
    </row>
    <row r="495" spans="1:33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 t="str">
        <f t="shared" si="1"/>
        <v/>
      </c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26"/>
      <c r="AB495" s="7"/>
      <c r="AC495" s="7"/>
      <c r="AD495" s="7"/>
      <c r="AE495" s="7"/>
      <c r="AF495" s="7"/>
      <c r="AG495" s="7"/>
    </row>
    <row r="496" spans="1:33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 t="str">
        <f t="shared" si="1"/>
        <v/>
      </c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26"/>
      <c r="AB496" s="7"/>
      <c r="AC496" s="7"/>
      <c r="AD496" s="7"/>
      <c r="AE496" s="7"/>
      <c r="AF496" s="7"/>
      <c r="AG496" s="7"/>
    </row>
    <row r="497" spans="1:33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 t="str">
        <f t="shared" si="1"/>
        <v/>
      </c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26"/>
      <c r="AB497" s="7"/>
      <c r="AC497" s="7"/>
      <c r="AD497" s="7"/>
      <c r="AE497" s="7"/>
      <c r="AF497" s="7"/>
      <c r="AG497" s="7"/>
    </row>
    <row r="498" spans="1:33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 t="str">
        <f t="shared" si="1"/>
        <v/>
      </c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26"/>
      <c r="AB498" s="7"/>
      <c r="AC498" s="7"/>
      <c r="AD498" s="7"/>
      <c r="AE498" s="7"/>
      <c r="AF498" s="7"/>
      <c r="AG498" s="7"/>
    </row>
    <row r="499" spans="1:33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 t="str">
        <f t="shared" si="1"/>
        <v/>
      </c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26"/>
      <c r="AB499" s="7"/>
      <c r="AC499" s="7"/>
      <c r="AD499" s="7"/>
      <c r="AE499" s="7"/>
      <c r="AF499" s="7"/>
      <c r="AG499" s="7"/>
    </row>
    <row r="500" spans="1:33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 t="e">
        <f t="array" ref="L500">TRANSPOSE('[11]Form Responses OSCE Station 11'!N2:BC2)</f>
        <v>#REF!</v>
      </c>
      <c r="M500" s="7"/>
      <c r="N500" s="7" t="e">
        <f t="shared" si="1"/>
        <v>#REF!</v>
      </c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26"/>
      <c r="AB500" s="7"/>
      <c r="AC500" s="7"/>
      <c r="AD500" s="7"/>
      <c r="AE500" s="7"/>
      <c r="AF500" s="7"/>
      <c r="AG500" s="7"/>
    </row>
    <row r="501" spans="1:33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 t="str">
        <f t="shared" si="1"/>
        <v/>
      </c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26"/>
      <c r="AB501" s="7"/>
      <c r="AC501" s="7"/>
      <c r="AD501" s="7"/>
      <c r="AE501" s="7"/>
      <c r="AF501" s="7"/>
      <c r="AG501" s="7"/>
    </row>
    <row r="502" spans="1:33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 t="str">
        <f t="shared" si="1"/>
        <v/>
      </c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26"/>
      <c r="AB502" s="7"/>
      <c r="AC502" s="7"/>
      <c r="AD502" s="7"/>
      <c r="AE502" s="7"/>
      <c r="AF502" s="7"/>
      <c r="AG502" s="7"/>
    </row>
    <row r="503" spans="1:33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 t="str">
        <f t="shared" si="1"/>
        <v/>
      </c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26"/>
      <c r="AB503" s="7"/>
      <c r="AC503" s="7"/>
      <c r="AD503" s="7"/>
      <c r="AE503" s="7"/>
      <c r="AF503" s="7"/>
      <c r="AG503" s="7"/>
    </row>
    <row r="504" spans="1:33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 t="str">
        <f t="shared" si="1"/>
        <v/>
      </c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26"/>
      <c r="AB504" s="7"/>
      <c r="AC504" s="7"/>
      <c r="AD504" s="7"/>
      <c r="AE504" s="7"/>
      <c r="AF504" s="7"/>
      <c r="AG504" s="7"/>
    </row>
    <row r="505" spans="1:33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 t="str">
        <f t="shared" si="1"/>
        <v/>
      </c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26"/>
      <c r="AB505" s="7"/>
      <c r="AC505" s="7"/>
      <c r="AD505" s="7"/>
      <c r="AE505" s="7"/>
      <c r="AF505" s="7"/>
      <c r="AG505" s="7"/>
    </row>
    <row r="506" spans="1:33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 t="str">
        <f t="shared" si="1"/>
        <v/>
      </c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26"/>
      <c r="AB506" s="7"/>
      <c r="AC506" s="7"/>
      <c r="AD506" s="7"/>
      <c r="AE506" s="7"/>
      <c r="AF506" s="7"/>
      <c r="AG506" s="7"/>
    </row>
    <row r="507" spans="1:33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 t="str">
        <f t="shared" si="1"/>
        <v/>
      </c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26"/>
      <c r="AB507" s="7"/>
      <c r="AC507" s="7"/>
      <c r="AD507" s="7"/>
      <c r="AE507" s="7"/>
      <c r="AF507" s="7"/>
      <c r="AG507" s="7"/>
    </row>
    <row r="508" spans="1:33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 t="str">
        <f t="shared" si="1"/>
        <v/>
      </c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26"/>
      <c r="AB508" s="7"/>
      <c r="AC508" s="7"/>
      <c r="AD508" s="7"/>
      <c r="AE508" s="7"/>
      <c r="AF508" s="7"/>
      <c r="AG508" s="7"/>
    </row>
    <row r="509" spans="1:33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 t="str">
        <f t="shared" si="1"/>
        <v/>
      </c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26"/>
      <c r="AB509" s="7"/>
      <c r="AC509" s="7"/>
      <c r="AD509" s="7"/>
      <c r="AE509" s="7"/>
      <c r="AF509" s="7"/>
      <c r="AG509" s="7"/>
    </row>
    <row r="510" spans="1:33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 t="str">
        <f t="shared" si="1"/>
        <v/>
      </c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26"/>
      <c r="AB510" s="7"/>
      <c r="AC510" s="7"/>
      <c r="AD510" s="7"/>
      <c r="AE510" s="7"/>
      <c r="AF510" s="7"/>
      <c r="AG510" s="7"/>
    </row>
    <row r="511" spans="1:33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 t="str">
        <f t="shared" si="1"/>
        <v/>
      </c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26"/>
      <c r="AB511" s="7"/>
      <c r="AC511" s="7"/>
      <c r="AD511" s="7"/>
      <c r="AE511" s="7"/>
      <c r="AF511" s="7"/>
      <c r="AG511" s="7"/>
    </row>
    <row r="512" spans="1:33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 t="str">
        <f t="shared" si="1"/>
        <v/>
      </c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26"/>
      <c r="AB512" s="7"/>
      <c r="AC512" s="7"/>
      <c r="AD512" s="7"/>
      <c r="AE512" s="7"/>
      <c r="AF512" s="7"/>
      <c r="AG512" s="7"/>
    </row>
    <row r="513" spans="1:33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 t="str">
        <f t="shared" ref="N513:N744" si="2">IF(F513&lt;&gt;"",F513,IF(G513&lt;&gt;"",G513,IF(B513&lt;&gt;"",B513,IF(C513&lt;&gt;"",C513,IF(D513&lt;&gt;"",D513,IF(E513&lt;&gt;"",E513,IF(M513&lt;&gt;"",M513,IF(L513&lt;&gt;"",L513,IF(K513&lt;&gt;"",K513,IF(H513&lt;&gt;"",H513,IF(I513&lt;&gt;"",I513,IF(J513&lt;&gt;"",J513,""))))))))))))</f>
        <v/>
      </c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26"/>
      <c r="AB513" s="7"/>
      <c r="AC513" s="7"/>
      <c r="AD513" s="7"/>
      <c r="AE513" s="7"/>
      <c r="AF513" s="7"/>
      <c r="AG513" s="7"/>
    </row>
    <row r="514" spans="1:33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 t="str">
        <f t="shared" si="2"/>
        <v/>
      </c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26"/>
      <c r="AB514" s="7"/>
      <c r="AC514" s="7"/>
      <c r="AD514" s="7"/>
      <c r="AE514" s="7"/>
      <c r="AF514" s="7"/>
      <c r="AG514" s="7"/>
    </row>
    <row r="515" spans="1:33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 t="str">
        <f t="shared" si="2"/>
        <v/>
      </c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26"/>
      <c r="AB515" s="7"/>
      <c r="AC515" s="7"/>
      <c r="AD515" s="7"/>
      <c r="AE515" s="7"/>
      <c r="AF515" s="7"/>
      <c r="AG515" s="7"/>
    </row>
    <row r="516" spans="1:33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 t="str">
        <f t="shared" si="2"/>
        <v/>
      </c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26"/>
      <c r="AB516" s="7"/>
      <c r="AC516" s="7"/>
      <c r="AD516" s="7"/>
      <c r="AE516" s="7"/>
      <c r="AF516" s="7"/>
      <c r="AG516" s="7"/>
    </row>
    <row r="517" spans="1:33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 t="str">
        <f t="shared" si="2"/>
        <v/>
      </c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26"/>
      <c r="AB517" s="7"/>
      <c r="AC517" s="7"/>
      <c r="AD517" s="7"/>
      <c r="AE517" s="7"/>
      <c r="AF517" s="7"/>
      <c r="AG517" s="7"/>
    </row>
    <row r="518" spans="1:33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 t="str">
        <f t="shared" si="2"/>
        <v/>
      </c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26"/>
      <c r="AB518" s="7"/>
      <c r="AC518" s="7"/>
      <c r="AD518" s="7"/>
      <c r="AE518" s="7"/>
      <c r="AF518" s="7"/>
      <c r="AG518" s="7"/>
    </row>
    <row r="519" spans="1:33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 t="str">
        <f t="shared" si="2"/>
        <v/>
      </c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26"/>
      <c r="AB519" s="7"/>
      <c r="AC519" s="7"/>
      <c r="AD519" s="7"/>
      <c r="AE519" s="7"/>
      <c r="AF519" s="7"/>
      <c r="AG519" s="7"/>
    </row>
    <row r="520" spans="1:33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 t="str">
        <f t="shared" si="2"/>
        <v/>
      </c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26"/>
      <c r="AB520" s="7"/>
      <c r="AC520" s="7"/>
      <c r="AD520" s="7"/>
      <c r="AE520" s="7"/>
      <c r="AF520" s="7"/>
      <c r="AG520" s="7"/>
    </row>
    <row r="521" spans="1:33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 t="str">
        <f t="shared" si="2"/>
        <v/>
      </c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26"/>
      <c r="AB521" s="7"/>
      <c r="AC521" s="7"/>
      <c r="AD521" s="7"/>
      <c r="AE521" s="7"/>
      <c r="AF521" s="7"/>
      <c r="AG521" s="7"/>
    </row>
    <row r="522" spans="1:33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 t="str">
        <f t="shared" si="2"/>
        <v/>
      </c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26"/>
      <c r="AB522" s="7"/>
      <c r="AC522" s="7"/>
      <c r="AD522" s="7"/>
      <c r="AE522" s="7"/>
      <c r="AF522" s="7"/>
      <c r="AG522" s="7"/>
    </row>
    <row r="523" spans="1:33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 t="str">
        <f t="shared" si="2"/>
        <v/>
      </c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26"/>
      <c r="AB523" s="7"/>
      <c r="AC523" s="7"/>
      <c r="AD523" s="7"/>
      <c r="AE523" s="7"/>
      <c r="AF523" s="7"/>
      <c r="AG523" s="7"/>
    </row>
    <row r="524" spans="1:33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 t="str">
        <f t="shared" si="2"/>
        <v/>
      </c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26"/>
      <c r="AB524" s="7"/>
      <c r="AC524" s="7"/>
      <c r="AD524" s="7"/>
      <c r="AE524" s="7"/>
      <c r="AF524" s="7"/>
      <c r="AG524" s="7"/>
    </row>
    <row r="525" spans="1:33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 t="str">
        <f t="shared" si="2"/>
        <v/>
      </c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26"/>
      <c r="AB525" s="7"/>
      <c r="AC525" s="7"/>
      <c r="AD525" s="7"/>
      <c r="AE525" s="7"/>
      <c r="AF525" s="7"/>
      <c r="AG525" s="7"/>
    </row>
    <row r="526" spans="1:33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 t="str">
        <f t="shared" si="2"/>
        <v/>
      </c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26"/>
      <c r="AB526" s="7"/>
      <c r="AC526" s="7"/>
      <c r="AD526" s="7"/>
      <c r="AE526" s="7"/>
      <c r="AF526" s="7"/>
      <c r="AG526" s="7"/>
    </row>
    <row r="527" spans="1:33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 t="str">
        <f t="shared" si="2"/>
        <v/>
      </c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26"/>
      <c r="AB527" s="7"/>
      <c r="AC527" s="7"/>
      <c r="AD527" s="7"/>
      <c r="AE527" s="7"/>
      <c r="AF527" s="7"/>
      <c r="AG527" s="7"/>
    </row>
    <row r="528" spans="1:33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 t="str">
        <f t="shared" si="2"/>
        <v/>
      </c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26"/>
      <c r="AB528" s="7"/>
      <c r="AC528" s="7"/>
      <c r="AD528" s="7"/>
      <c r="AE528" s="7"/>
      <c r="AF528" s="7"/>
      <c r="AG528" s="7"/>
    </row>
    <row r="529" spans="1:33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 t="str">
        <f t="shared" si="2"/>
        <v/>
      </c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26"/>
      <c r="AB529" s="7"/>
      <c r="AC529" s="7"/>
      <c r="AD529" s="7"/>
      <c r="AE529" s="7"/>
      <c r="AF529" s="7"/>
      <c r="AG529" s="7"/>
    </row>
    <row r="530" spans="1:33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 t="str">
        <f t="shared" si="2"/>
        <v/>
      </c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26"/>
      <c r="AB530" s="7"/>
      <c r="AC530" s="7"/>
      <c r="AD530" s="7"/>
      <c r="AE530" s="7"/>
      <c r="AF530" s="7"/>
      <c r="AG530" s="7"/>
    </row>
    <row r="531" spans="1:33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 t="str">
        <f t="shared" si="2"/>
        <v/>
      </c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26"/>
      <c r="AB531" s="7"/>
      <c r="AC531" s="7"/>
      <c r="AD531" s="7"/>
      <c r="AE531" s="7"/>
      <c r="AF531" s="7"/>
      <c r="AG531" s="7"/>
    </row>
    <row r="532" spans="1:33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 t="str">
        <f t="shared" si="2"/>
        <v/>
      </c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26"/>
      <c r="AB532" s="7"/>
      <c r="AC532" s="7"/>
      <c r="AD532" s="7"/>
      <c r="AE532" s="7"/>
      <c r="AF532" s="7"/>
      <c r="AG532" s="7"/>
    </row>
    <row r="533" spans="1:33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 t="str">
        <f t="shared" si="2"/>
        <v/>
      </c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26"/>
      <c r="AB533" s="7"/>
      <c r="AC533" s="7"/>
      <c r="AD533" s="7"/>
      <c r="AE533" s="7"/>
      <c r="AF533" s="7"/>
      <c r="AG533" s="7"/>
    </row>
    <row r="534" spans="1:33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 t="str">
        <f t="shared" si="2"/>
        <v/>
      </c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26"/>
      <c r="AB534" s="7"/>
      <c r="AC534" s="7"/>
      <c r="AD534" s="7"/>
      <c r="AE534" s="7"/>
      <c r="AF534" s="7"/>
      <c r="AG534" s="7"/>
    </row>
    <row r="535" spans="1:33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 t="str">
        <f t="shared" si="2"/>
        <v/>
      </c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26"/>
      <c r="AB535" s="7"/>
      <c r="AC535" s="7"/>
      <c r="AD535" s="7"/>
      <c r="AE535" s="7"/>
      <c r="AF535" s="7"/>
      <c r="AG535" s="7"/>
    </row>
    <row r="536" spans="1:33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 t="str">
        <f t="shared" si="2"/>
        <v/>
      </c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26"/>
      <c r="AB536" s="7"/>
      <c r="AC536" s="7"/>
      <c r="AD536" s="7"/>
      <c r="AE536" s="7"/>
      <c r="AF536" s="7"/>
      <c r="AG536" s="7"/>
    </row>
    <row r="537" spans="1:33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 t="str">
        <f t="shared" si="2"/>
        <v/>
      </c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26"/>
      <c r="AB537" s="7"/>
      <c r="AC537" s="7"/>
      <c r="AD537" s="7"/>
      <c r="AE537" s="7"/>
      <c r="AF537" s="7"/>
      <c r="AG537" s="7"/>
    </row>
    <row r="538" spans="1:33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 t="str">
        <f t="shared" si="2"/>
        <v/>
      </c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26"/>
      <c r="AB538" s="7"/>
      <c r="AC538" s="7"/>
      <c r="AD538" s="7"/>
      <c r="AE538" s="7"/>
      <c r="AF538" s="7"/>
      <c r="AG538" s="7"/>
    </row>
    <row r="539" spans="1:33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 t="str">
        <f t="shared" si="2"/>
        <v/>
      </c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26"/>
      <c r="AB539" s="7"/>
      <c r="AC539" s="7"/>
      <c r="AD539" s="7"/>
      <c r="AE539" s="7"/>
      <c r="AF539" s="7"/>
      <c r="AG539" s="7"/>
    </row>
    <row r="540" spans="1:33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 t="str">
        <f t="shared" si="2"/>
        <v/>
      </c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26"/>
      <c r="AB540" s="7"/>
      <c r="AC540" s="7"/>
      <c r="AD540" s="7"/>
      <c r="AE540" s="7"/>
      <c r="AF540" s="7"/>
      <c r="AG540" s="7"/>
    </row>
    <row r="541" spans="1:33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 t="str">
        <f t="shared" si="2"/>
        <v/>
      </c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26"/>
      <c r="AB541" s="7"/>
      <c r="AC541" s="7"/>
      <c r="AD541" s="7"/>
      <c r="AE541" s="7"/>
      <c r="AF541" s="7"/>
      <c r="AG541" s="7"/>
    </row>
    <row r="542" spans="1:33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 t="str">
        <f t="shared" si="2"/>
        <v/>
      </c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26"/>
      <c r="AB542" s="7"/>
      <c r="AC542" s="7"/>
      <c r="AD542" s="7"/>
      <c r="AE542" s="7"/>
      <c r="AF542" s="7"/>
      <c r="AG542" s="7"/>
    </row>
    <row r="543" spans="1:33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 t="str">
        <f t="shared" si="2"/>
        <v/>
      </c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26"/>
      <c r="AB543" s="7"/>
      <c r="AC543" s="7"/>
      <c r="AD543" s="7"/>
      <c r="AE543" s="7"/>
      <c r="AF543" s="7"/>
      <c r="AG543" s="7"/>
    </row>
    <row r="544" spans="1:33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 t="str">
        <f t="shared" si="2"/>
        <v/>
      </c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26"/>
      <c r="AB544" s="7"/>
      <c r="AC544" s="7"/>
      <c r="AD544" s="7"/>
      <c r="AE544" s="7"/>
      <c r="AF544" s="7"/>
      <c r="AG544" s="7"/>
    </row>
    <row r="545" spans="1:33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 t="str">
        <f t="shared" si="2"/>
        <v/>
      </c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26"/>
      <c r="AB545" s="7"/>
      <c r="AC545" s="7"/>
      <c r="AD545" s="7"/>
      <c r="AE545" s="7"/>
      <c r="AF545" s="7"/>
      <c r="AG545" s="7"/>
    </row>
    <row r="546" spans="1:33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 t="str">
        <f t="shared" si="2"/>
        <v/>
      </c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26"/>
      <c r="AB546" s="7"/>
      <c r="AC546" s="7"/>
      <c r="AD546" s="7"/>
      <c r="AE546" s="7"/>
      <c r="AF546" s="7"/>
      <c r="AG546" s="7"/>
    </row>
    <row r="547" spans="1:33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 t="str">
        <f t="shared" si="2"/>
        <v/>
      </c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26"/>
      <c r="AB547" s="7"/>
      <c r="AC547" s="7"/>
      <c r="AD547" s="7"/>
      <c r="AE547" s="7"/>
      <c r="AF547" s="7"/>
      <c r="AG547" s="7"/>
    </row>
    <row r="548" spans="1:33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 t="str">
        <f t="shared" si="2"/>
        <v/>
      </c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26"/>
      <c r="AB548" s="7"/>
      <c r="AC548" s="7"/>
      <c r="AD548" s="7"/>
      <c r="AE548" s="7"/>
      <c r="AF548" s="7"/>
      <c r="AG548" s="7"/>
    </row>
    <row r="549" spans="1:33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 t="str">
        <f t="shared" si="2"/>
        <v/>
      </c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26"/>
      <c r="AB549" s="7"/>
      <c r="AC549" s="7"/>
      <c r="AD549" s="7"/>
      <c r="AE549" s="7"/>
      <c r="AF549" s="7"/>
      <c r="AG549" s="7"/>
    </row>
    <row r="550" spans="1:33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 t="e">
        <f t="array" ref="M550">TRANSPOSE('[12]Form Responses OSCE Station 12'!N2:BC2)</f>
        <v>#REF!</v>
      </c>
      <c r="N550" s="7" t="e">
        <f t="shared" si="2"/>
        <v>#REF!</v>
      </c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26"/>
      <c r="AB550" s="7"/>
      <c r="AC550" s="7"/>
      <c r="AD550" s="7"/>
      <c r="AE550" s="7"/>
      <c r="AF550" s="7"/>
      <c r="AG550" s="7"/>
    </row>
    <row r="551" spans="1:33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 t="str">
        <f t="shared" si="2"/>
        <v/>
      </c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26"/>
      <c r="AB551" s="7"/>
      <c r="AC551" s="7"/>
      <c r="AD551" s="7"/>
      <c r="AE551" s="7"/>
      <c r="AF551" s="7"/>
      <c r="AG551" s="7"/>
    </row>
    <row r="552" spans="1:33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 t="str">
        <f t="shared" si="2"/>
        <v/>
      </c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26"/>
      <c r="AB552" s="7"/>
      <c r="AC552" s="7"/>
      <c r="AD552" s="7"/>
      <c r="AE552" s="7"/>
      <c r="AF552" s="7"/>
      <c r="AG552" s="7"/>
    </row>
    <row r="553" spans="1:33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 t="str">
        <f t="shared" si="2"/>
        <v/>
      </c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26"/>
      <c r="AB553" s="7"/>
      <c r="AC553" s="7"/>
      <c r="AD553" s="7"/>
      <c r="AE553" s="7"/>
      <c r="AF553" s="7"/>
      <c r="AG553" s="7"/>
    </row>
    <row r="554" spans="1:33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 t="str">
        <f t="shared" si="2"/>
        <v/>
      </c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26"/>
      <c r="AB554" s="7"/>
      <c r="AC554" s="7"/>
      <c r="AD554" s="7"/>
      <c r="AE554" s="7"/>
      <c r="AF554" s="7"/>
      <c r="AG554" s="7"/>
    </row>
    <row r="555" spans="1:33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 t="str">
        <f t="shared" si="2"/>
        <v/>
      </c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26"/>
      <c r="AB555" s="7"/>
      <c r="AC555" s="7"/>
      <c r="AD555" s="7"/>
      <c r="AE555" s="7"/>
      <c r="AF555" s="7"/>
      <c r="AG555" s="7"/>
    </row>
    <row r="556" spans="1:33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 t="str">
        <f t="shared" si="2"/>
        <v/>
      </c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26"/>
      <c r="AB556" s="7"/>
      <c r="AC556" s="7"/>
      <c r="AD556" s="7"/>
      <c r="AE556" s="7"/>
      <c r="AF556" s="7"/>
      <c r="AG556" s="7"/>
    </row>
    <row r="557" spans="1:33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 t="str">
        <f t="shared" si="2"/>
        <v/>
      </c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26"/>
      <c r="AB557" s="7"/>
      <c r="AC557" s="7"/>
      <c r="AD557" s="7"/>
      <c r="AE557" s="7"/>
      <c r="AF557" s="7"/>
      <c r="AG557" s="7"/>
    </row>
    <row r="558" spans="1:33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 t="str">
        <f t="shared" si="2"/>
        <v/>
      </c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26"/>
      <c r="AB558" s="7"/>
      <c r="AC558" s="7"/>
      <c r="AD558" s="7"/>
      <c r="AE558" s="7"/>
      <c r="AF558" s="7"/>
      <c r="AG558" s="7"/>
    </row>
    <row r="559" spans="1:33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 t="str">
        <f t="shared" si="2"/>
        <v/>
      </c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26"/>
      <c r="AB559" s="7"/>
      <c r="AC559" s="7"/>
      <c r="AD559" s="7"/>
      <c r="AE559" s="7"/>
      <c r="AF559" s="7"/>
      <c r="AG559" s="7"/>
    </row>
    <row r="560" spans="1:33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 t="str">
        <f t="shared" si="2"/>
        <v/>
      </c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26"/>
      <c r="AB560" s="7"/>
      <c r="AC560" s="7"/>
      <c r="AD560" s="7"/>
      <c r="AE560" s="7"/>
      <c r="AF560" s="7"/>
      <c r="AG560" s="7"/>
    </row>
    <row r="561" spans="1:33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 t="str">
        <f t="shared" si="2"/>
        <v/>
      </c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26"/>
      <c r="AB561" s="7"/>
      <c r="AC561" s="7"/>
      <c r="AD561" s="7"/>
      <c r="AE561" s="7"/>
      <c r="AF561" s="7"/>
      <c r="AG561" s="7"/>
    </row>
    <row r="562" spans="1:33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 t="str">
        <f t="shared" si="2"/>
        <v/>
      </c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26"/>
      <c r="AB562" s="7"/>
      <c r="AC562" s="7"/>
      <c r="AD562" s="7"/>
      <c r="AE562" s="7"/>
      <c r="AF562" s="7"/>
      <c r="AG562" s="7"/>
    </row>
    <row r="563" spans="1:33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 t="str">
        <f t="shared" si="2"/>
        <v/>
      </c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26"/>
      <c r="AB563" s="7"/>
      <c r="AC563" s="7"/>
      <c r="AD563" s="7"/>
      <c r="AE563" s="7"/>
      <c r="AF563" s="7"/>
      <c r="AG563" s="7"/>
    </row>
    <row r="564" spans="1:33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 t="str">
        <f t="shared" si="2"/>
        <v/>
      </c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26"/>
      <c r="AB564" s="7"/>
      <c r="AC564" s="7"/>
      <c r="AD564" s="7"/>
      <c r="AE564" s="7"/>
      <c r="AF564" s="7"/>
      <c r="AG564" s="7"/>
    </row>
    <row r="565" spans="1:33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 t="str">
        <f t="shared" si="2"/>
        <v/>
      </c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26"/>
      <c r="AB565" s="7"/>
      <c r="AC565" s="7"/>
      <c r="AD565" s="7"/>
      <c r="AE565" s="7"/>
      <c r="AF565" s="7"/>
      <c r="AG565" s="7"/>
    </row>
    <row r="566" spans="1:33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 t="str">
        <f t="shared" si="2"/>
        <v/>
      </c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26"/>
      <c r="AB566" s="7"/>
      <c r="AC566" s="7"/>
      <c r="AD566" s="7"/>
      <c r="AE566" s="7"/>
      <c r="AF566" s="7"/>
      <c r="AG566" s="7"/>
    </row>
    <row r="567" spans="1:33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 t="str">
        <f t="shared" si="2"/>
        <v/>
      </c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26"/>
      <c r="AB567" s="7"/>
      <c r="AC567" s="7"/>
      <c r="AD567" s="7"/>
      <c r="AE567" s="7"/>
      <c r="AF567" s="7"/>
      <c r="AG567" s="7"/>
    </row>
    <row r="568" spans="1:33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 t="str">
        <f t="shared" si="2"/>
        <v/>
      </c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26"/>
      <c r="AB568" s="7"/>
      <c r="AC568" s="7"/>
      <c r="AD568" s="7"/>
      <c r="AE568" s="7"/>
      <c r="AF568" s="7"/>
      <c r="AG568" s="7"/>
    </row>
    <row r="569" spans="1:33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 t="str">
        <f t="shared" si="2"/>
        <v/>
      </c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26"/>
      <c r="AB569" s="7"/>
      <c r="AC569" s="7"/>
      <c r="AD569" s="7"/>
      <c r="AE569" s="7"/>
      <c r="AF569" s="7"/>
      <c r="AG569" s="7"/>
    </row>
    <row r="570" spans="1:33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 t="str">
        <f t="shared" si="2"/>
        <v/>
      </c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26"/>
      <c r="AB570" s="7"/>
      <c r="AC570" s="7"/>
      <c r="AD570" s="7"/>
      <c r="AE570" s="7"/>
      <c r="AF570" s="7"/>
      <c r="AG570" s="7"/>
    </row>
    <row r="571" spans="1:33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 t="str">
        <f t="shared" si="2"/>
        <v/>
      </c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26"/>
      <c r="AB571" s="7"/>
      <c r="AC571" s="7"/>
      <c r="AD571" s="7"/>
      <c r="AE571" s="7"/>
      <c r="AF571" s="7"/>
      <c r="AG571" s="7"/>
    </row>
    <row r="572" spans="1:33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 t="str">
        <f t="shared" si="2"/>
        <v/>
      </c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26"/>
      <c r="AB572" s="7"/>
      <c r="AC572" s="7"/>
      <c r="AD572" s="7"/>
      <c r="AE572" s="7"/>
      <c r="AF572" s="7"/>
      <c r="AG572" s="7"/>
    </row>
    <row r="573" spans="1:33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 t="str">
        <f t="shared" si="2"/>
        <v/>
      </c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26"/>
      <c r="AB573" s="7"/>
      <c r="AC573" s="7"/>
      <c r="AD573" s="7"/>
      <c r="AE573" s="7"/>
      <c r="AF573" s="7"/>
      <c r="AG573" s="7"/>
    </row>
    <row r="574" spans="1:33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 t="str">
        <f t="shared" si="2"/>
        <v/>
      </c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26"/>
      <c r="AB574" s="7"/>
      <c r="AC574" s="7"/>
      <c r="AD574" s="7"/>
      <c r="AE574" s="7"/>
      <c r="AF574" s="7"/>
      <c r="AG574" s="7"/>
    </row>
    <row r="575" spans="1:33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 t="str">
        <f t="shared" si="2"/>
        <v/>
      </c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26"/>
      <c r="AB575" s="7"/>
      <c r="AC575" s="7"/>
      <c r="AD575" s="7"/>
      <c r="AE575" s="7"/>
      <c r="AF575" s="7"/>
      <c r="AG575" s="7"/>
    </row>
    <row r="576" spans="1:33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 t="str">
        <f t="shared" si="2"/>
        <v/>
      </c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26"/>
      <c r="AB576" s="7"/>
      <c r="AC576" s="7"/>
      <c r="AD576" s="7"/>
      <c r="AE576" s="7"/>
      <c r="AF576" s="7"/>
      <c r="AG576" s="7"/>
    </row>
    <row r="577" spans="1:33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 t="str">
        <f t="shared" si="2"/>
        <v/>
      </c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26"/>
      <c r="AB577" s="7"/>
      <c r="AC577" s="7"/>
      <c r="AD577" s="7"/>
      <c r="AE577" s="7"/>
      <c r="AF577" s="7"/>
      <c r="AG577" s="7"/>
    </row>
    <row r="578" spans="1:33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 t="str">
        <f t="shared" si="2"/>
        <v/>
      </c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26"/>
      <c r="AB578" s="7"/>
      <c r="AC578" s="7"/>
      <c r="AD578" s="7"/>
      <c r="AE578" s="7"/>
      <c r="AF578" s="7"/>
      <c r="AG578" s="7"/>
    </row>
    <row r="579" spans="1:33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 t="str">
        <f t="shared" si="2"/>
        <v/>
      </c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26"/>
      <c r="AB579" s="7"/>
      <c r="AC579" s="7"/>
      <c r="AD579" s="7"/>
      <c r="AE579" s="7"/>
      <c r="AF579" s="7"/>
      <c r="AG579" s="7"/>
    </row>
    <row r="580" spans="1:33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 t="str">
        <f t="shared" si="2"/>
        <v/>
      </c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26"/>
      <c r="AB580" s="7"/>
      <c r="AC580" s="7"/>
      <c r="AD580" s="7"/>
      <c r="AE580" s="7"/>
      <c r="AF580" s="7"/>
      <c r="AG580" s="7"/>
    </row>
    <row r="581" spans="1:33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 t="str">
        <f t="shared" si="2"/>
        <v/>
      </c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26"/>
      <c r="AB581" s="7"/>
      <c r="AC581" s="7"/>
      <c r="AD581" s="7"/>
      <c r="AE581" s="7"/>
      <c r="AF581" s="7"/>
      <c r="AG581" s="7"/>
    </row>
    <row r="582" spans="1:33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 t="str">
        <f t="shared" si="2"/>
        <v/>
      </c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26"/>
      <c r="AB582" s="7"/>
      <c r="AC582" s="7"/>
      <c r="AD582" s="7"/>
      <c r="AE582" s="7"/>
      <c r="AF582" s="7"/>
      <c r="AG582" s="7"/>
    </row>
    <row r="583" spans="1:33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 t="str">
        <f t="shared" si="2"/>
        <v/>
      </c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26"/>
      <c r="AB583" s="7"/>
      <c r="AC583" s="7"/>
      <c r="AD583" s="7"/>
      <c r="AE583" s="7"/>
      <c r="AF583" s="7"/>
      <c r="AG583" s="7"/>
    </row>
    <row r="584" spans="1:33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 t="str">
        <f t="shared" si="2"/>
        <v/>
      </c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26"/>
      <c r="AB584" s="7"/>
      <c r="AC584" s="7"/>
      <c r="AD584" s="7"/>
      <c r="AE584" s="7"/>
      <c r="AF584" s="7"/>
      <c r="AG584" s="7"/>
    </row>
    <row r="585" spans="1:33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 t="str">
        <f t="shared" si="2"/>
        <v/>
      </c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26"/>
      <c r="AB585" s="7"/>
      <c r="AC585" s="7"/>
      <c r="AD585" s="7"/>
      <c r="AE585" s="7"/>
      <c r="AF585" s="7"/>
      <c r="AG585" s="7"/>
    </row>
    <row r="586" spans="1:33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 t="str">
        <f t="shared" si="2"/>
        <v/>
      </c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26"/>
      <c r="AB586" s="7"/>
      <c r="AC586" s="7"/>
      <c r="AD586" s="7"/>
      <c r="AE586" s="7"/>
      <c r="AF586" s="7"/>
      <c r="AG586" s="7"/>
    </row>
    <row r="587" spans="1:33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 t="str">
        <f t="shared" si="2"/>
        <v/>
      </c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26"/>
      <c r="AB587" s="7"/>
      <c r="AC587" s="7"/>
      <c r="AD587" s="7"/>
      <c r="AE587" s="7"/>
      <c r="AF587" s="7"/>
      <c r="AG587" s="7"/>
    </row>
    <row r="588" spans="1:33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 t="str">
        <f t="shared" si="2"/>
        <v/>
      </c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26"/>
      <c r="AB588" s="7"/>
      <c r="AC588" s="7"/>
      <c r="AD588" s="7"/>
      <c r="AE588" s="7"/>
      <c r="AF588" s="7"/>
      <c r="AG588" s="7"/>
    </row>
    <row r="589" spans="1:33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 t="str">
        <f t="shared" si="2"/>
        <v/>
      </c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26"/>
      <c r="AB589" s="7"/>
      <c r="AC589" s="7"/>
      <c r="AD589" s="7"/>
      <c r="AE589" s="7"/>
      <c r="AF589" s="7"/>
      <c r="AG589" s="7"/>
    </row>
    <row r="590" spans="1:33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 t="str">
        <f t="shared" si="2"/>
        <v/>
      </c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26"/>
      <c r="AB590" s="7"/>
      <c r="AC590" s="7"/>
      <c r="AD590" s="7"/>
      <c r="AE590" s="7"/>
      <c r="AF590" s="7"/>
      <c r="AG590" s="7"/>
    </row>
    <row r="591" spans="1:33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 t="str">
        <f t="shared" si="2"/>
        <v/>
      </c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26"/>
      <c r="AB591" s="7"/>
      <c r="AC591" s="7"/>
      <c r="AD591" s="7"/>
      <c r="AE591" s="7"/>
      <c r="AF591" s="7"/>
      <c r="AG591" s="7"/>
    </row>
    <row r="592" spans="1:33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 t="str">
        <f t="shared" si="2"/>
        <v/>
      </c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26"/>
      <c r="AB592" s="7"/>
      <c r="AC592" s="7"/>
      <c r="AD592" s="7"/>
      <c r="AE592" s="7"/>
      <c r="AF592" s="7"/>
      <c r="AG592" s="7"/>
    </row>
    <row r="593" spans="1:33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 t="str">
        <f t="shared" si="2"/>
        <v/>
      </c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26"/>
      <c r="AB593" s="7"/>
      <c r="AC593" s="7"/>
      <c r="AD593" s="7"/>
      <c r="AE593" s="7"/>
      <c r="AF593" s="7"/>
      <c r="AG593" s="7"/>
    </row>
    <row r="594" spans="1:33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 t="str">
        <f t="shared" si="2"/>
        <v/>
      </c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26"/>
      <c r="AB594" s="7"/>
      <c r="AC594" s="7"/>
      <c r="AD594" s="7"/>
      <c r="AE594" s="7"/>
      <c r="AF594" s="7"/>
      <c r="AG594" s="7"/>
    </row>
    <row r="595" spans="1:33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 t="str">
        <f t="shared" si="2"/>
        <v/>
      </c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26"/>
      <c r="AB595" s="7"/>
      <c r="AC595" s="7"/>
      <c r="AD595" s="7"/>
      <c r="AE595" s="7"/>
      <c r="AF595" s="7"/>
      <c r="AG595" s="7"/>
    </row>
    <row r="596" spans="1:33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 t="str">
        <f t="shared" si="2"/>
        <v/>
      </c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26"/>
      <c r="AB596" s="7"/>
      <c r="AC596" s="7"/>
      <c r="AD596" s="7"/>
      <c r="AE596" s="7"/>
      <c r="AF596" s="7"/>
      <c r="AG596" s="7"/>
    </row>
    <row r="597" spans="1:33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 t="str">
        <f t="shared" si="2"/>
        <v/>
      </c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26"/>
      <c r="AB597" s="7"/>
      <c r="AC597" s="7"/>
      <c r="AD597" s="7"/>
      <c r="AE597" s="7"/>
      <c r="AF597" s="7"/>
      <c r="AG597" s="7"/>
    </row>
    <row r="598" spans="1:33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 t="str">
        <f t="shared" si="2"/>
        <v/>
      </c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26"/>
      <c r="AB598" s="7"/>
      <c r="AC598" s="7"/>
      <c r="AD598" s="7"/>
      <c r="AE598" s="7"/>
      <c r="AF598" s="7"/>
      <c r="AG598" s="7"/>
    </row>
    <row r="599" spans="1:33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 t="str">
        <f t="shared" si="2"/>
        <v/>
      </c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26"/>
      <c r="AB599" s="7"/>
      <c r="AC599" s="7"/>
      <c r="AD599" s="7"/>
      <c r="AE599" s="7"/>
      <c r="AF599" s="7"/>
      <c r="AG599" s="7"/>
    </row>
    <row r="600" spans="1:33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 t="str">
        <f t="shared" si="2"/>
        <v/>
      </c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26"/>
      <c r="AB600" s="7"/>
      <c r="AC600" s="7"/>
      <c r="AD600" s="7"/>
      <c r="AE600" s="7"/>
      <c r="AF600" s="7"/>
      <c r="AG600" s="7"/>
    </row>
    <row r="601" spans="1:33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 t="str">
        <f t="shared" si="2"/>
        <v/>
      </c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26"/>
      <c r="AB601" s="7"/>
      <c r="AC601" s="7"/>
      <c r="AD601" s="7"/>
      <c r="AE601" s="7"/>
      <c r="AF601" s="7"/>
      <c r="AG601" s="7"/>
    </row>
    <row r="602" spans="1:33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 t="str">
        <f t="shared" si="2"/>
        <v/>
      </c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26"/>
      <c r="AB602" s="7"/>
      <c r="AC602" s="7"/>
      <c r="AD602" s="7"/>
      <c r="AE602" s="7"/>
      <c r="AF602" s="7"/>
      <c r="AG602" s="7"/>
    </row>
    <row r="603" spans="1:33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 t="str">
        <f t="shared" si="2"/>
        <v/>
      </c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26"/>
      <c r="AB603" s="7"/>
      <c r="AC603" s="7"/>
      <c r="AD603" s="7"/>
      <c r="AE603" s="7"/>
      <c r="AF603" s="7"/>
      <c r="AG603" s="7"/>
    </row>
    <row r="604" spans="1:33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 t="str">
        <f t="shared" si="2"/>
        <v/>
      </c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26"/>
      <c r="AB604" s="7"/>
      <c r="AC604" s="7"/>
      <c r="AD604" s="7"/>
      <c r="AE604" s="7"/>
      <c r="AF604" s="7"/>
      <c r="AG604" s="7"/>
    </row>
    <row r="605" spans="1:33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 t="str">
        <f t="shared" si="2"/>
        <v/>
      </c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26"/>
      <c r="AB605" s="7"/>
      <c r="AC605" s="7"/>
      <c r="AD605" s="7"/>
      <c r="AE605" s="7"/>
      <c r="AF605" s="7"/>
      <c r="AG605" s="7"/>
    </row>
    <row r="606" spans="1:33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 t="str">
        <f t="shared" si="2"/>
        <v/>
      </c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26"/>
      <c r="AB606" s="7"/>
      <c r="AC606" s="7"/>
      <c r="AD606" s="7"/>
      <c r="AE606" s="7"/>
      <c r="AF606" s="7"/>
      <c r="AG606" s="7"/>
    </row>
    <row r="607" spans="1:33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 t="str">
        <f t="shared" si="2"/>
        <v/>
      </c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26"/>
      <c r="AB607" s="7"/>
      <c r="AC607" s="7"/>
      <c r="AD607" s="7"/>
      <c r="AE607" s="7"/>
      <c r="AF607" s="7"/>
      <c r="AG607" s="7"/>
    </row>
    <row r="608" spans="1:33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 t="str">
        <f t="shared" si="2"/>
        <v/>
      </c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26"/>
      <c r="AB608" s="7"/>
      <c r="AC608" s="7"/>
      <c r="AD608" s="7"/>
      <c r="AE608" s="7"/>
      <c r="AF608" s="7"/>
      <c r="AG608" s="7"/>
    </row>
    <row r="609" spans="1:33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 t="str">
        <f t="shared" si="2"/>
        <v/>
      </c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26"/>
      <c r="AB609" s="7"/>
      <c r="AC609" s="7"/>
      <c r="AD609" s="7"/>
      <c r="AE609" s="7"/>
      <c r="AF609" s="7"/>
      <c r="AG609" s="7"/>
    </row>
    <row r="610" spans="1:33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 t="str">
        <f t="shared" si="2"/>
        <v/>
      </c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26"/>
      <c r="AB610" s="7"/>
      <c r="AC610" s="7"/>
      <c r="AD610" s="7"/>
      <c r="AE610" s="7"/>
      <c r="AF610" s="7"/>
      <c r="AG610" s="7"/>
    </row>
    <row r="611" spans="1:33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 t="str">
        <f t="shared" si="2"/>
        <v/>
      </c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26"/>
      <c r="AB611" s="7"/>
      <c r="AC611" s="7"/>
      <c r="AD611" s="7"/>
      <c r="AE611" s="7"/>
      <c r="AF611" s="7"/>
      <c r="AG611" s="7"/>
    </row>
    <row r="612" spans="1:33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 t="str">
        <f t="shared" si="2"/>
        <v/>
      </c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26"/>
      <c r="AB612" s="7"/>
      <c r="AC612" s="7"/>
      <c r="AD612" s="7"/>
      <c r="AE612" s="7"/>
      <c r="AF612" s="7"/>
      <c r="AG612" s="7"/>
    </row>
    <row r="613" spans="1:33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 t="str">
        <f t="shared" si="2"/>
        <v/>
      </c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26"/>
      <c r="AB613" s="7"/>
      <c r="AC613" s="7"/>
      <c r="AD613" s="7"/>
      <c r="AE613" s="7"/>
      <c r="AF613" s="7"/>
      <c r="AG613" s="7"/>
    </row>
    <row r="614" spans="1:33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 t="str">
        <f t="shared" si="2"/>
        <v/>
      </c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26"/>
      <c r="AB614" s="7"/>
      <c r="AC614" s="7"/>
      <c r="AD614" s="7"/>
      <c r="AE614" s="7"/>
      <c r="AF614" s="7"/>
      <c r="AG614" s="7"/>
    </row>
    <row r="615" spans="1:33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 t="str">
        <f t="shared" si="2"/>
        <v/>
      </c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26"/>
      <c r="AB615" s="7"/>
      <c r="AC615" s="7"/>
      <c r="AD615" s="7"/>
      <c r="AE615" s="7"/>
      <c r="AF615" s="7"/>
      <c r="AG615" s="7"/>
    </row>
    <row r="616" spans="1:33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 t="str">
        <f t="shared" si="2"/>
        <v/>
      </c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26"/>
      <c r="AB616" s="7"/>
      <c r="AC616" s="7"/>
      <c r="AD616" s="7"/>
      <c r="AE616" s="7"/>
      <c r="AF616" s="7"/>
      <c r="AG616" s="7"/>
    </row>
    <row r="617" spans="1:33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 t="str">
        <f t="shared" si="2"/>
        <v/>
      </c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26"/>
      <c r="AB617" s="7"/>
      <c r="AC617" s="7"/>
      <c r="AD617" s="7"/>
      <c r="AE617" s="7"/>
      <c r="AF617" s="7"/>
      <c r="AG617" s="7"/>
    </row>
    <row r="618" spans="1:33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 t="str">
        <f t="shared" si="2"/>
        <v/>
      </c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26"/>
      <c r="AB618" s="7"/>
      <c r="AC618" s="7"/>
      <c r="AD618" s="7"/>
      <c r="AE618" s="7"/>
      <c r="AF618" s="7"/>
      <c r="AG618" s="7"/>
    </row>
    <row r="619" spans="1:33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 t="str">
        <f t="shared" si="2"/>
        <v/>
      </c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26"/>
      <c r="AB619" s="7"/>
      <c r="AC619" s="7"/>
      <c r="AD619" s="7"/>
      <c r="AE619" s="7"/>
      <c r="AF619" s="7"/>
      <c r="AG619" s="7"/>
    </row>
    <row r="620" spans="1:33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 t="str">
        <f t="shared" si="2"/>
        <v/>
      </c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26"/>
      <c r="AB620" s="7"/>
      <c r="AC620" s="7"/>
      <c r="AD620" s="7"/>
      <c r="AE620" s="7"/>
      <c r="AF620" s="7"/>
      <c r="AG620" s="7"/>
    </row>
    <row r="621" spans="1:33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 t="str">
        <f t="shared" si="2"/>
        <v/>
      </c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26"/>
      <c r="AB621" s="7"/>
      <c r="AC621" s="7"/>
      <c r="AD621" s="7"/>
      <c r="AE621" s="7"/>
      <c r="AF621" s="7"/>
      <c r="AG621" s="7"/>
    </row>
    <row r="622" spans="1:33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 t="str">
        <f t="shared" si="2"/>
        <v/>
      </c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26"/>
      <c r="AB622" s="7"/>
      <c r="AC622" s="7"/>
      <c r="AD622" s="7"/>
      <c r="AE622" s="7"/>
      <c r="AF622" s="7"/>
      <c r="AG622" s="7"/>
    </row>
    <row r="623" spans="1:33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 t="str">
        <f t="shared" si="2"/>
        <v/>
      </c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26"/>
      <c r="AB623" s="7"/>
      <c r="AC623" s="7"/>
      <c r="AD623" s="7"/>
      <c r="AE623" s="7"/>
      <c r="AF623" s="7"/>
      <c r="AG623" s="7"/>
    </row>
    <row r="624" spans="1:33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 t="str">
        <f t="shared" si="2"/>
        <v/>
      </c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26"/>
      <c r="AB624" s="7"/>
      <c r="AC624" s="7"/>
      <c r="AD624" s="7"/>
      <c r="AE624" s="7"/>
      <c r="AF624" s="7"/>
      <c r="AG624" s="7"/>
    </row>
    <row r="625" spans="1:33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 t="str">
        <f t="shared" si="2"/>
        <v/>
      </c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26"/>
      <c r="AB625" s="7"/>
      <c r="AC625" s="7"/>
      <c r="AD625" s="7"/>
      <c r="AE625" s="7"/>
      <c r="AF625" s="7"/>
      <c r="AG625" s="7"/>
    </row>
    <row r="626" spans="1:33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 t="str">
        <f t="shared" si="2"/>
        <v/>
      </c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26"/>
      <c r="AB626" s="7"/>
      <c r="AC626" s="7"/>
      <c r="AD626" s="7"/>
      <c r="AE626" s="7"/>
      <c r="AF626" s="7"/>
      <c r="AG626" s="7"/>
    </row>
    <row r="627" spans="1:33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 t="str">
        <f t="shared" si="2"/>
        <v/>
      </c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26"/>
      <c r="AB627" s="7"/>
      <c r="AC627" s="7"/>
      <c r="AD627" s="7"/>
      <c r="AE627" s="7"/>
      <c r="AF627" s="7"/>
      <c r="AG627" s="7"/>
    </row>
    <row r="628" spans="1:33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 t="str">
        <f t="shared" si="2"/>
        <v/>
      </c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26"/>
      <c r="AB628" s="7"/>
      <c r="AC628" s="7"/>
      <c r="AD628" s="7"/>
      <c r="AE628" s="7"/>
      <c r="AF628" s="7"/>
      <c r="AG628" s="7"/>
    </row>
    <row r="629" spans="1:33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 t="str">
        <f t="shared" si="2"/>
        <v/>
      </c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26"/>
      <c r="AB629" s="7"/>
      <c r="AC629" s="7"/>
      <c r="AD629" s="7"/>
      <c r="AE629" s="7"/>
      <c r="AF629" s="7"/>
      <c r="AG629" s="7"/>
    </row>
    <row r="630" spans="1:33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 t="str">
        <f t="shared" si="2"/>
        <v/>
      </c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26"/>
      <c r="AB630" s="7"/>
      <c r="AC630" s="7"/>
      <c r="AD630" s="7"/>
      <c r="AE630" s="7"/>
      <c r="AF630" s="7"/>
      <c r="AG630" s="7"/>
    </row>
    <row r="631" spans="1:33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 t="str">
        <f t="shared" si="2"/>
        <v/>
      </c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26"/>
      <c r="AB631" s="7"/>
      <c r="AC631" s="7"/>
      <c r="AD631" s="7"/>
      <c r="AE631" s="7"/>
      <c r="AF631" s="7"/>
      <c r="AG631" s="7"/>
    </row>
    <row r="632" spans="1:33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 t="str">
        <f t="shared" si="2"/>
        <v/>
      </c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26"/>
      <c r="AB632" s="7"/>
      <c r="AC632" s="7"/>
      <c r="AD632" s="7"/>
      <c r="AE632" s="7"/>
      <c r="AF632" s="7"/>
      <c r="AG632" s="7"/>
    </row>
    <row r="633" spans="1:33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 t="str">
        <f t="shared" si="2"/>
        <v/>
      </c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26"/>
      <c r="AB633" s="7"/>
      <c r="AC633" s="7"/>
      <c r="AD633" s="7"/>
      <c r="AE633" s="7"/>
      <c r="AF633" s="7"/>
      <c r="AG633" s="7"/>
    </row>
    <row r="634" spans="1:33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 t="str">
        <f t="shared" si="2"/>
        <v/>
      </c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26"/>
      <c r="AB634" s="7"/>
      <c r="AC634" s="7"/>
      <c r="AD634" s="7"/>
      <c r="AE634" s="7"/>
      <c r="AF634" s="7"/>
      <c r="AG634" s="7"/>
    </row>
    <row r="635" spans="1:33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 t="str">
        <f t="shared" si="2"/>
        <v/>
      </c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26"/>
      <c r="AB635" s="7"/>
      <c r="AC635" s="7"/>
      <c r="AD635" s="7"/>
      <c r="AE635" s="7"/>
      <c r="AF635" s="7"/>
      <c r="AG635" s="7"/>
    </row>
    <row r="636" spans="1:33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 t="str">
        <f t="shared" si="2"/>
        <v/>
      </c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26"/>
      <c r="AB636" s="7"/>
      <c r="AC636" s="7"/>
      <c r="AD636" s="7"/>
      <c r="AE636" s="7"/>
      <c r="AF636" s="7"/>
      <c r="AG636" s="7"/>
    </row>
    <row r="637" spans="1:33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 t="str">
        <f t="shared" si="2"/>
        <v/>
      </c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26"/>
      <c r="AB637" s="7"/>
      <c r="AC637" s="7"/>
      <c r="AD637" s="7"/>
      <c r="AE637" s="7"/>
      <c r="AF637" s="7"/>
      <c r="AG637" s="7"/>
    </row>
    <row r="638" spans="1:33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 t="str">
        <f t="shared" si="2"/>
        <v/>
      </c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26"/>
      <c r="AB638" s="7"/>
      <c r="AC638" s="7"/>
      <c r="AD638" s="7"/>
      <c r="AE638" s="7"/>
      <c r="AF638" s="7"/>
      <c r="AG638" s="7"/>
    </row>
    <row r="639" spans="1:33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 t="str">
        <f t="shared" si="2"/>
        <v/>
      </c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26"/>
      <c r="AB639" s="7"/>
      <c r="AC639" s="7"/>
      <c r="AD639" s="7"/>
      <c r="AE639" s="7"/>
      <c r="AF639" s="7"/>
      <c r="AG639" s="7"/>
    </row>
    <row r="640" spans="1:33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 t="str">
        <f t="shared" si="2"/>
        <v/>
      </c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26"/>
      <c r="AB640" s="7"/>
      <c r="AC640" s="7"/>
      <c r="AD640" s="7"/>
      <c r="AE640" s="7"/>
      <c r="AF640" s="7"/>
      <c r="AG640" s="7"/>
    </row>
    <row r="641" spans="1:33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 t="str">
        <f t="shared" si="2"/>
        <v/>
      </c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26"/>
      <c r="AB641" s="7"/>
      <c r="AC641" s="7"/>
      <c r="AD641" s="7"/>
      <c r="AE641" s="7"/>
      <c r="AF641" s="7"/>
      <c r="AG641" s="7"/>
    </row>
    <row r="642" spans="1:33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 t="str">
        <f t="shared" si="2"/>
        <v/>
      </c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26"/>
      <c r="AB642" s="7"/>
      <c r="AC642" s="7"/>
      <c r="AD642" s="7"/>
      <c r="AE642" s="7"/>
      <c r="AF642" s="7"/>
      <c r="AG642" s="7"/>
    </row>
    <row r="643" spans="1:33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 t="str">
        <f t="shared" si="2"/>
        <v/>
      </c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26"/>
      <c r="AB643" s="7"/>
      <c r="AC643" s="7"/>
      <c r="AD643" s="7"/>
      <c r="AE643" s="7"/>
      <c r="AF643" s="7"/>
      <c r="AG643" s="7"/>
    </row>
    <row r="644" spans="1:33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 t="str">
        <f t="shared" si="2"/>
        <v/>
      </c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26"/>
      <c r="AB644" s="7"/>
      <c r="AC644" s="7"/>
      <c r="AD644" s="7"/>
      <c r="AE644" s="7"/>
      <c r="AF644" s="7"/>
      <c r="AG644" s="7"/>
    </row>
    <row r="645" spans="1:33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 t="str">
        <f t="shared" si="2"/>
        <v/>
      </c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26"/>
      <c r="AB645" s="7"/>
      <c r="AC645" s="7"/>
      <c r="AD645" s="7"/>
      <c r="AE645" s="7"/>
      <c r="AF645" s="7"/>
      <c r="AG645" s="7"/>
    </row>
    <row r="646" spans="1:33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 t="str">
        <f t="shared" si="2"/>
        <v/>
      </c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26"/>
      <c r="AB646" s="7"/>
      <c r="AC646" s="7"/>
      <c r="AD646" s="7"/>
      <c r="AE646" s="7"/>
      <c r="AF646" s="7"/>
      <c r="AG646" s="7"/>
    </row>
    <row r="647" spans="1:33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 t="str">
        <f t="shared" si="2"/>
        <v/>
      </c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26"/>
      <c r="AB647" s="7"/>
      <c r="AC647" s="7"/>
      <c r="AD647" s="7"/>
      <c r="AE647" s="7"/>
      <c r="AF647" s="7"/>
      <c r="AG647" s="7"/>
    </row>
    <row r="648" spans="1:33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 t="str">
        <f t="shared" si="2"/>
        <v/>
      </c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26"/>
      <c r="AB648" s="7"/>
      <c r="AC648" s="7"/>
      <c r="AD648" s="7"/>
      <c r="AE648" s="7"/>
      <c r="AF648" s="7"/>
      <c r="AG648" s="7"/>
    </row>
    <row r="649" spans="1:33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 t="str">
        <f t="shared" si="2"/>
        <v/>
      </c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26"/>
      <c r="AB649" s="7"/>
      <c r="AC649" s="7"/>
      <c r="AD649" s="7"/>
      <c r="AE649" s="7"/>
      <c r="AF649" s="7"/>
      <c r="AG649" s="7"/>
    </row>
    <row r="650" spans="1:33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 t="str">
        <f t="shared" si="2"/>
        <v/>
      </c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26"/>
      <c r="AB650" s="7"/>
      <c r="AC650" s="7"/>
      <c r="AD650" s="7"/>
      <c r="AE650" s="7"/>
      <c r="AF650" s="7"/>
      <c r="AG650" s="7"/>
    </row>
    <row r="651" spans="1:33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 t="str">
        <f t="shared" si="2"/>
        <v/>
      </c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26"/>
      <c r="AB651" s="7"/>
      <c r="AC651" s="7"/>
      <c r="AD651" s="7"/>
      <c r="AE651" s="7"/>
      <c r="AF651" s="7"/>
      <c r="AG651" s="7"/>
    </row>
    <row r="652" spans="1:33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 t="str">
        <f t="shared" si="2"/>
        <v/>
      </c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26"/>
      <c r="AB652" s="7"/>
      <c r="AC652" s="7"/>
      <c r="AD652" s="7"/>
      <c r="AE652" s="7"/>
      <c r="AF652" s="7"/>
      <c r="AG652" s="7"/>
    </row>
    <row r="653" spans="1:33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 t="str">
        <f t="shared" si="2"/>
        <v/>
      </c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26"/>
      <c r="AB653" s="7"/>
      <c r="AC653" s="7"/>
      <c r="AD653" s="7"/>
      <c r="AE653" s="7"/>
      <c r="AF653" s="7"/>
      <c r="AG653" s="7"/>
    </row>
    <row r="654" spans="1:33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 t="str">
        <f t="shared" si="2"/>
        <v/>
      </c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26"/>
      <c r="AB654" s="7"/>
      <c r="AC654" s="7"/>
      <c r="AD654" s="7"/>
      <c r="AE654" s="7"/>
      <c r="AF654" s="7"/>
      <c r="AG654" s="7"/>
    </row>
    <row r="655" spans="1:33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 t="str">
        <f t="shared" si="2"/>
        <v/>
      </c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26"/>
      <c r="AB655" s="7"/>
      <c r="AC655" s="7"/>
      <c r="AD655" s="7"/>
      <c r="AE655" s="7"/>
      <c r="AF655" s="7"/>
      <c r="AG655" s="7"/>
    </row>
    <row r="656" spans="1:33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 t="str">
        <f t="shared" si="2"/>
        <v/>
      </c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26"/>
      <c r="AB656" s="7"/>
      <c r="AC656" s="7"/>
      <c r="AD656" s="7"/>
      <c r="AE656" s="7"/>
      <c r="AF656" s="7"/>
      <c r="AG656" s="7"/>
    </row>
    <row r="657" spans="1:33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 t="str">
        <f t="shared" si="2"/>
        <v/>
      </c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26"/>
      <c r="AB657" s="7"/>
      <c r="AC657" s="7"/>
      <c r="AD657" s="7"/>
      <c r="AE657" s="7"/>
      <c r="AF657" s="7"/>
      <c r="AG657" s="7"/>
    </row>
    <row r="658" spans="1:33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 t="str">
        <f t="shared" si="2"/>
        <v/>
      </c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26"/>
      <c r="AB658" s="7"/>
      <c r="AC658" s="7"/>
      <c r="AD658" s="7"/>
      <c r="AE658" s="7"/>
      <c r="AF658" s="7"/>
      <c r="AG658" s="7"/>
    </row>
    <row r="659" spans="1:33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 t="str">
        <f t="shared" si="2"/>
        <v/>
      </c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26"/>
      <c r="AB659" s="7"/>
      <c r="AC659" s="7"/>
      <c r="AD659" s="7"/>
      <c r="AE659" s="7"/>
      <c r="AF659" s="7"/>
      <c r="AG659" s="7"/>
    </row>
    <row r="660" spans="1:33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 t="str">
        <f t="shared" si="2"/>
        <v/>
      </c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26"/>
      <c r="AB660" s="7"/>
      <c r="AC660" s="7"/>
      <c r="AD660" s="7"/>
      <c r="AE660" s="7"/>
      <c r="AF660" s="7"/>
      <c r="AG660" s="7"/>
    </row>
    <row r="661" spans="1:33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 t="str">
        <f t="shared" si="2"/>
        <v/>
      </c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26"/>
      <c r="AB661" s="7"/>
      <c r="AC661" s="7"/>
      <c r="AD661" s="7"/>
      <c r="AE661" s="7"/>
      <c r="AF661" s="7"/>
      <c r="AG661" s="7"/>
    </row>
    <row r="662" spans="1:33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 t="str">
        <f t="shared" si="2"/>
        <v/>
      </c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26"/>
      <c r="AB662" s="7"/>
      <c r="AC662" s="7"/>
      <c r="AD662" s="7"/>
      <c r="AE662" s="7"/>
      <c r="AF662" s="7"/>
      <c r="AG662" s="7"/>
    </row>
    <row r="663" spans="1:33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 t="str">
        <f t="shared" si="2"/>
        <v/>
      </c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26"/>
      <c r="AB663" s="7"/>
      <c r="AC663" s="7"/>
      <c r="AD663" s="7"/>
      <c r="AE663" s="7"/>
      <c r="AF663" s="7"/>
      <c r="AG663" s="7"/>
    </row>
    <row r="664" spans="1:33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 t="str">
        <f t="shared" si="2"/>
        <v/>
      </c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26"/>
      <c r="AB664" s="7"/>
      <c r="AC664" s="7"/>
      <c r="AD664" s="7"/>
      <c r="AE664" s="7"/>
      <c r="AF664" s="7"/>
      <c r="AG664" s="7"/>
    </row>
    <row r="665" spans="1:33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 t="str">
        <f t="shared" si="2"/>
        <v/>
      </c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26"/>
      <c r="AB665" s="7"/>
      <c r="AC665" s="7"/>
      <c r="AD665" s="7"/>
      <c r="AE665" s="7"/>
      <c r="AF665" s="7"/>
      <c r="AG665" s="7"/>
    </row>
    <row r="666" spans="1:33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 t="str">
        <f t="shared" si="2"/>
        <v/>
      </c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26"/>
      <c r="AB666" s="7"/>
      <c r="AC666" s="7"/>
      <c r="AD666" s="7"/>
      <c r="AE666" s="7"/>
      <c r="AF666" s="7"/>
      <c r="AG666" s="7"/>
    </row>
    <row r="667" spans="1:33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 t="str">
        <f t="shared" si="2"/>
        <v/>
      </c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26"/>
      <c r="AB667" s="7"/>
      <c r="AC667" s="7"/>
      <c r="AD667" s="7"/>
      <c r="AE667" s="7"/>
      <c r="AF667" s="7"/>
      <c r="AG667" s="7"/>
    </row>
    <row r="668" spans="1:33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 t="str">
        <f t="shared" si="2"/>
        <v/>
      </c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26"/>
      <c r="AB668" s="7"/>
      <c r="AC668" s="7"/>
      <c r="AD668" s="7"/>
      <c r="AE668" s="7"/>
      <c r="AF668" s="7"/>
      <c r="AG668" s="7"/>
    </row>
    <row r="669" spans="1:33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 t="str">
        <f t="shared" si="2"/>
        <v/>
      </c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26"/>
      <c r="AB669" s="7"/>
      <c r="AC669" s="7"/>
      <c r="AD669" s="7"/>
      <c r="AE669" s="7"/>
      <c r="AF669" s="7"/>
      <c r="AG669" s="7"/>
    </row>
    <row r="670" spans="1:33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 t="str">
        <f t="shared" si="2"/>
        <v/>
      </c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26"/>
      <c r="AB670" s="7"/>
      <c r="AC670" s="7"/>
      <c r="AD670" s="7"/>
      <c r="AE670" s="7"/>
      <c r="AF670" s="7"/>
      <c r="AG670" s="7"/>
    </row>
    <row r="671" spans="1:33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 t="str">
        <f t="shared" si="2"/>
        <v/>
      </c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26"/>
      <c r="AB671" s="7"/>
      <c r="AC671" s="7"/>
      <c r="AD671" s="7"/>
      <c r="AE671" s="7"/>
      <c r="AF671" s="7"/>
      <c r="AG671" s="7"/>
    </row>
    <row r="672" spans="1:33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 t="str">
        <f t="shared" si="2"/>
        <v/>
      </c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26"/>
      <c r="AB672" s="7"/>
      <c r="AC672" s="7"/>
      <c r="AD672" s="7"/>
      <c r="AE672" s="7"/>
      <c r="AF672" s="7"/>
      <c r="AG672" s="7"/>
    </row>
    <row r="673" spans="1:33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 t="str">
        <f t="shared" si="2"/>
        <v/>
      </c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26"/>
      <c r="AB673" s="7"/>
      <c r="AC673" s="7"/>
      <c r="AD673" s="7"/>
      <c r="AE673" s="7"/>
      <c r="AF673" s="7"/>
      <c r="AG673" s="7"/>
    </row>
    <row r="674" spans="1:33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 t="str">
        <f t="shared" si="2"/>
        <v/>
      </c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26"/>
      <c r="AB674" s="7"/>
      <c r="AC674" s="7"/>
      <c r="AD674" s="7"/>
      <c r="AE674" s="7"/>
      <c r="AF674" s="7"/>
      <c r="AG674" s="7"/>
    </row>
    <row r="675" spans="1:33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 t="str">
        <f t="shared" si="2"/>
        <v/>
      </c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26"/>
      <c r="AB675" s="7"/>
      <c r="AC675" s="7"/>
      <c r="AD675" s="7"/>
      <c r="AE675" s="7"/>
      <c r="AF675" s="7"/>
      <c r="AG675" s="7"/>
    </row>
    <row r="676" spans="1:33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 t="str">
        <f t="shared" si="2"/>
        <v/>
      </c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26"/>
      <c r="AB676" s="7"/>
      <c r="AC676" s="7"/>
      <c r="AD676" s="7"/>
      <c r="AE676" s="7"/>
      <c r="AF676" s="7"/>
      <c r="AG676" s="7"/>
    </row>
    <row r="677" spans="1:33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 t="str">
        <f t="shared" si="2"/>
        <v/>
      </c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26"/>
      <c r="AB677" s="7"/>
      <c r="AC677" s="7"/>
      <c r="AD677" s="7"/>
      <c r="AE677" s="7"/>
      <c r="AF677" s="7"/>
      <c r="AG677" s="7"/>
    </row>
    <row r="678" spans="1:33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 t="str">
        <f t="shared" si="2"/>
        <v/>
      </c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26"/>
      <c r="AB678" s="7"/>
      <c r="AC678" s="7"/>
      <c r="AD678" s="7"/>
      <c r="AE678" s="7"/>
      <c r="AF678" s="7"/>
      <c r="AG678" s="7"/>
    </row>
    <row r="679" spans="1:33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 t="str">
        <f t="shared" si="2"/>
        <v/>
      </c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26"/>
      <c r="AB679" s="7"/>
      <c r="AC679" s="7"/>
      <c r="AD679" s="7"/>
      <c r="AE679" s="7"/>
      <c r="AF679" s="7"/>
      <c r="AG679" s="7"/>
    </row>
    <row r="680" spans="1:33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 t="str">
        <f t="shared" si="2"/>
        <v/>
      </c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26"/>
      <c r="AB680" s="7"/>
      <c r="AC680" s="7"/>
      <c r="AD680" s="7"/>
      <c r="AE680" s="7"/>
      <c r="AF680" s="7"/>
      <c r="AG680" s="7"/>
    </row>
    <row r="681" spans="1:33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 t="str">
        <f t="shared" si="2"/>
        <v/>
      </c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26"/>
      <c r="AB681" s="7"/>
      <c r="AC681" s="7"/>
      <c r="AD681" s="7"/>
      <c r="AE681" s="7"/>
      <c r="AF681" s="7"/>
      <c r="AG681" s="7"/>
    </row>
    <row r="682" spans="1:33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 t="str">
        <f t="shared" si="2"/>
        <v/>
      </c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26"/>
      <c r="AB682" s="7"/>
      <c r="AC682" s="7"/>
      <c r="AD682" s="7"/>
      <c r="AE682" s="7"/>
      <c r="AF682" s="7"/>
      <c r="AG682" s="7"/>
    </row>
    <row r="683" spans="1:33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 t="str">
        <f t="shared" si="2"/>
        <v/>
      </c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26"/>
      <c r="AB683" s="7"/>
      <c r="AC683" s="7"/>
      <c r="AD683" s="7"/>
      <c r="AE683" s="7"/>
      <c r="AF683" s="7"/>
      <c r="AG683" s="7"/>
    </row>
    <row r="684" spans="1:33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 t="str">
        <f t="shared" si="2"/>
        <v/>
      </c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26"/>
      <c r="AB684" s="7"/>
      <c r="AC684" s="7"/>
      <c r="AD684" s="7"/>
      <c r="AE684" s="7"/>
      <c r="AF684" s="7"/>
      <c r="AG684" s="7"/>
    </row>
    <row r="685" spans="1:33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 t="str">
        <f t="shared" si="2"/>
        <v/>
      </c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26"/>
      <c r="AB685" s="7"/>
      <c r="AC685" s="7"/>
      <c r="AD685" s="7"/>
      <c r="AE685" s="7"/>
      <c r="AF685" s="7"/>
      <c r="AG685" s="7"/>
    </row>
    <row r="686" spans="1:33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 t="str">
        <f t="shared" si="2"/>
        <v/>
      </c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26"/>
      <c r="AB686" s="7"/>
      <c r="AC686" s="7"/>
      <c r="AD686" s="7"/>
      <c r="AE686" s="7"/>
      <c r="AF686" s="7"/>
      <c r="AG686" s="7"/>
    </row>
    <row r="687" spans="1:33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 t="str">
        <f t="shared" si="2"/>
        <v/>
      </c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26"/>
      <c r="AB687" s="7"/>
      <c r="AC687" s="7"/>
      <c r="AD687" s="7"/>
      <c r="AE687" s="7"/>
      <c r="AF687" s="7"/>
      <c r="AG687" s="7"/>
    </row>
    <row r="688" spans="1:33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 t="str">
        <f t="shared" si="2"/>
        <v/>
      </c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26"/>
      <c r="AB688" s="7"/>
      <c r="AC688" s="7"/>
      <c r="AD688" s="7"/>
      <c r="AE688" s="7"/>
      <c r="AF688" s="7"/>
      <c r="AG688" s="7"/>
    </row>
    <row r="689" spans="1:33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 t="str">
        <f t="shared" si="2"/>
        <v/>
      </c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26"/>
      <c r="AB689" s="7"/>
      <c r="AC689" s="7"/>
      <c r="AD689" s="7"/>
      <c r="AE689" s="7"/>
      <c r="AF689" s="7"/>
      <c r="AG689" s="7"/>
    </row>
    <row r="690" spans="1:33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 t="str">
        <f t="shared" si="2"/>
        <v/>
      </c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26"/>
      <c r="AB690" s="7"/>
      <c r="AC690" s="7"/>
      <c r="AD690" s="7"/>
      <c r="AE690" s="7"/>
      <c r="AF690" s="7"/>
      <c r="AG690" s="7"/>
    </row>
    <row r="691" spans="1:33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 t="str">
        <f t="shared" si="2"/>
        <v/>
      </c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26"/>
      <c r="AB691" s="7"/>
      <c r="AC691" s="7"/>
      <c r="AD691" s="7"/>
      <c r="AE691" s="7"/>
      <c r="AF691" s="7"/>
      <c r="AG691" s="7"/>
    </row>
    <row r="692" spans="1:33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 t="str">
        <f t="shared" si="2"/>
        <v/>
      </c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26"/>
      <c r="AB692" s="7"/>
      <c r="AC692" s="7"/>
      <c r="AD692" s="7"/>
      <c r="AE692" s="7"/>
      <c r="AF692" s="7"/>
      <c r="AG692" s="7"/>
    </row>
    <row r="693" spans="1:33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 t="str">
        <f t="shared" si="2"/>
        <v/>
      </c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26"/>
      <c r="AB693" s="7"/>
      <c r="AC693" s="7"/>
      <c r="AD693" s="7"/>
      <c r="AE693" s="7"/>
      <c r="AF693" s="7"/>
      <c r="AG693" s="7"/>
    </row>
    <row r="694" spans="1:33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 t="str">
        <f t="shared" si="2"/>
        <v/>
      </c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26"/>
      <c r="AB694" s="7"/>
      <c r="AC694" s="7"/>
      <c r="AD694" s="7"/>
      <c r="AE694" s="7"/>
      <c r="AF694" s="7"/>
      <c r="AG694" s="7"/>
    </row>
    <row r="695" spans="1:33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 t="str">
        <f t="shared" si="2"/>
        <v/>
      </c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26"/>
      <c r="AB695" s="7"/>
      <c r="AC695" s="7"/>
      <c r="AD695" s="7"/>
      <c r="AE695" s="7"/>
      <c r="AF695" s="7"/>
      <c r="AG695" s="7"/>
    </row>
    <row r="696" spans="1:33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 t="str">
        <f t="shared" si="2"/>
        <v/>
      </c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26"/>
      <c r="AB696" s="7"/>
      <c r="AC696" s="7"/>
      <c r="AD696" s="7"/>
      <c r="AE696" s="7"/>
      <c r="AF696" s="7"/>
      <c r="AG696" s="7"/>
    </row>
    <row r="697" spans="1:33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 t="str">
        <f t="shared" si="2"/>
        <v/>
      </c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26"/>
      <c r="AB697" s="7"/>
      <c r="AC697" s="7"/>
      <c r="AD697" s="7"/>
      <c r="AE697" s="7"/>
      <c r="AF697" s="7"/>
      <c r="AG697" s="7"/>
    </row>
    <row r="698" spans="1:33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 t="str">
        <f t="shared" si="2"/>
        <v/>
      </c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26"/>
      <c r="AB698" s="7"/>
      <c r="AC698" s="7"/>
      <c r="AD698" s="7"/>
      <c r="AE698" s="7"/>
      <c r="AF698" s="7"/>
      <c r="AG698" s="7"/>
    </row>
    <row r="699" spans="1:33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 t="str">
        <f t="shared" si="2"/>
        <v/>
      </c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26"/>
      <c r="AB699" s="7"/>
      <c r="AC699" s="7"/>
      <c r="AD699" s="7"/>
      <c r="AE699" s="7"/>
      <c r="AF699" s="7"/>
      <c r="AG699" s="7"/>
    </row>
    <row r="700" spans="1:33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 t="str">
        <f t="shared" si="2"/>
        <v/>
      </c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26"/>
      <c r="AB700" s="7"/>
      <c r="AC700" s="7"/>
      <c r="AD700" s="7"/>
      <c r="AE700" s="7"/>
      <c r="AF700" s="7"/>
      <c r="AG700" s="7"/>
    </row>
    <row r="701" spans="1:33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 t="str">
        <f t="shared" si="2"/>
        <v/>
      </c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26"/>
      <c r="AB701" s="7"/>
      <c r="AC701" s="7"/>
      <c r="AD701" s="7"/>
      <c r="AE701" s="7"/>
      <c r="AF701" s="7"/>
      <c r="AG701" s="7"/>
    </row>
    <row r="702" spans="1:33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 t="str">
        <f t="shared" si="2"/>
        <v/>
      </c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26"/>
      <c r="AB702" s="7"/>
      <c r="AC702" s="7"/>
      <c r="AD702" s="7"/>
      <c r="AE702" s="7"/>
      <c r="AF702" s="7"/>
      <c r="AG702" s="7"/>
    </row>
    <row r="703" spans="1:33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 t="str">
        <f t="shared" si="2"/>
        <v/>
      </c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26"/>
      <c r="AB703" s="7"/>
      <c r="AC703" s="7"/>
      <c r="AD703" s="7"/>
      <c r="AE703" s="7"/>
      <c r="AF703" s="7"/>
      <c r="AG703" s="7"/>
    </row>
    <row r="704" spans="1:33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 t="str">
        <f t="shared" si="2"/>
        <v/>
      </c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26"/>
      <c r="AB704" s="7"/>
      <c r="AC704" s="7"/>
      <c r="AD704" s="7"/>
      <c r="AE704" s="7"/>
      <c r="AF704" s="7"/>
      <c r="AG704" s="7"/>
    </row>
    <row r="705" spans="1:33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 t="str">
        <f t="shared" si="2"/>
        <v/>
      </c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26"/>
      <c r="AB705" s="7"/>
      <c r="AC705" s="7"/>
      <c r="AD705" s="7"/>
      <c r="AE705" s="7"/>
      <c r="AF705" s="7"/>
      <c r="AG705" s="7"/>
    </row>
    <row r="706" spans="1:33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 t="str">
        <f t="shared" si="2"/>
        <v/>
      </c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26"/>
      <c r="AB706" s="7"/>
      <c r="AC706" s="7"/>
      <c r="AD706" s="7"/>
      <c r="AE706" s="7"/>
      <c r="AF706" s="7"/>
      <c r="AG706" s="7"/>
    </row>
    <row r="707" spans="1:33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 t="str">
        <f t="shared" si="2"/>
        <v/>
      </c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26"/>
      <c r="AB707" s="7"/>
      <c r="AC707" s="7"/>
      <c r="AD707" s="7"/>
      <c r="AE707" s="7"/>
      <c r="AF707" s="7"/>
      <c r="AG707" s="7"/>
    </row>
    <row r="708" spans="1:33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 t="str">
        <f t="shared" si="2"/>
        <v/>
      </c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26"/>
      <c r="AB708" s="7"/>
      <c r="AC708" s="7"/>
      <c r="AD708" s="7"/>
      <c r="AE708" s="7"/>
      <c r="AF708" s="7"/>
      <c r="AG708" s="7"/>
    </row>
    <row r="709" spans="1:33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 t="str">
        <f t="shared" si="2"/>
        <v/>
      </c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26"/>
      <c r="AB709" s="7"/>
      <c r="AC709" s="7"/>
      <c r="AD709" s="7"/>
      <c r="AE709" s="7"/>
      <c r="AF709" s="7"/>
      <c r="AG709" s="7"/>
    </row>
    <row r="710" spans="1:33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 t="str">
        <f t="shared" si="2"/>
        <v/>
      </c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26"/>
      <c r="AB710" s="7"/>
      <c r="AC710" s="7"/>
      <c r="AD710" s="7"/>
      <c r="AE710" s="7"/>
      <c r="AF710" s="7"/>
      <c r="AG710" s="7"/>
    </row>
    <row r="711" spans="1:33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 t="str">
        <f t="shared" si="2"/>
        <v/>
      </c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26"/>
      <c r="AB711" s="7"/>
      <c r="AC711" s="7"/>
      <c r="AD711" s="7"/>
      <c r="AE711" s="7"/>
      <c r="AF711" s="7"/>
      <c r="AG711" s="7"/>
    </row>
    <row r="712" spans="1:33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 t="str">
        <f t="shared" si="2"/>
        <v/>
      </c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26"/>
      <c r="AB712" s="7"/>
      <c r="AC712" s="7"/>
      <c r="AD712" s="7"/>
      <c r="AE712" s="7"/>
      <c r="AF712" s="7"/>
      <c r="AG712" s="7"/>
    </row>
    <row r="713" spans="1:33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 t="str">
        <f t="shared" si="2"/>
        <v/>
      </c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26"/>
      <c r="AB713" s="7"/>
      <c r="AC713" s="7"/>
      <c r="AD713" s="7"/>
      <c r="AE713" s="7"/>
      <c r="AF713" s="7"/>
      <c r="AG713" s="7"/>
    </row>
    <row r="714" spans="1:33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 t="str">
        <f t="shared" si="2"/>
        <v/>
      </c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26"/>
      <c r="AB714" s="7"/>
      <c r="AC714" s="7"/>
      <c r="AD714" s="7"/>
      <c r="AE714" s="7"/>
      <c r="AF714" s="7"/>
      <c r="AG714" s="7"/>
    </row>
    <row r="715" spans="1:33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 t="str">
        <f t="shared" si="2"/>
        <v/>
      </c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26"/>
      <c r="AB715" s="7"/>
      <c r="AC715" s="7"/>
      <c r="AD715" s="7"/>
      <c r="AE715" s="7"/>
      <c r="AF715" s="7"/>
      <c r="AG715" s="7"/>
    </row>
    <row r="716" spans="1:33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 t="str">
        <f t="shared" si="2"/>
        <v/>
      </c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26"/>
      <c r="AB716" s="7"/>
      <c r="AC716" s="7"/>
      <c r="AD716" s="7"/>
      <c r="AE716" s="7"/>
      <c r="AF716" s="7"/>
      <c r="AG716" s="7"/>
    </row>
    <row r="717" spans="1:33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 t="str">
        <f t="shared" si="2"/>
        <v/>
      </c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26"/>
      <c r="AB717" s="7"/>
      <c r="AC717" s="7"/>
      <c r="AD717" s="7"/>
      <c r="AE717" s="7"/>
      <c r="AF717" s="7"/>
      <c r="AG717" s="7"/>
    </row>
    <row r="718" spans="1:33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 t="str">
        <f t="shared" si="2"/>
        <v/>
      </c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26"/>
      <c r="AB718" s="7"/>
      <c r="AC718" s="7"/>
      <c r="AD718" s="7"/>
      <c r="AE718" s="7"/>
      <c r="AF718" s="7"/>
      <c r="AG718" s="7"/>
    </row>
    <row r="719" spans="1:33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 t="str">
        <f t="shared" si="2"/>
        <v/>
      </c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26"/>
      <c r="AB719" s="7"/>
      <c r="AC719" s="7"/>
      <c r="AD719" s="7"/>
      <c r="AE719" s="7"/>
      <c r="AF719" s="7"/>
      <c r="AG719" s="7"/>
    </row>
    <row r="720" spans="1:33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 t="str">
        <f t="shared" si="2"/>
        <v/>
      </c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26"/>
      <c r="AB720" s="7"/>
      <c r="AC720" s="7"/>
      <c r="AD720" s="7"/>
      <c r="AE720" s="7"/>
      <c r="AF720" s="7"/>
      <c r="AG720" s="7"/>
    </row>
    <row r="721" spans="1:33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 t="str">
        <f t="shared" si="2"/>
        <v/>
      </c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26"/>
      <c r="AB721" s="7"/>
      <c r="AC721" s="7"/>
      <c r="AD721" s="7"/>
      <c r="AE721" s="7"/>
      <c r="AF721" s="7"/>
      <c r="AG721" s="7"/>
    </row>
    <row r="722" spans="1:33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 t="str">
        <f t="shared" si="2"/>
        <v/>
      </c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26"/>
      <c r="AB722" s="7"/>
      <c r="AC722" s="7"/>
      <c r="AD722" s="7"/>
      <c r="AE722" s="7"/>
      <c r="AF722" s="7"/>
      <c r="AG722" s="7"/>
    </row>
    <row r="723" spans="1:33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 t="str">
        <f t="shared" si="2"/>
        <v/>
      </c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26"/>
      <c r="AB723" s="7"/>
      <c r="AC723" s="7"/>
      <c r="AD723" s="7"/>
      <c r="AE723" s="7"/>
      <c r="AF723" s="7"/>
      <c r="AG723" s="7"/>
    </row>
    <row r="724" spans="1:33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 t="str">
        <f t="shared" si="2"/>
        <v/>
      </c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26"/>
      <c r="AB724" s="7"/>
      <c r="AC724" s="7"/>
      <c r="AD724" s="7"/>
      <c r="AE724" s="7"/>
      <c r="AF724" s="7"/>
      <c r="AG724" s="7"/>
    </row>
    <row r="725" spans="1:33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 t="str">
        <f t="shared" si="2"/>
        <v/>
      </c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26"/>
      <c r="AB725" s="7"/>
      <c r="AC725" s="7"/>
      <c r="AD725" s="7"/>
      <c r="AE725" s="7"/>
      <c r="AF725" s="7"/>
      <c r="AG725" s="7"/>
    </row>
    <row r="726" spans="1:33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 t="str">
        <f t="shared" si="2"/>
        <v/>
      </c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26"/>
      <c r="AB726" s="7"/>
      <c r="AC726" s="7"/>
      <c r="AD726" s="7"/>
      <c r="AE726" s="7"/>
      <c r="AF726" s="7"/>
      <c r="AG726" s="7"/>
    </row>
    <row r="727" spans="1:33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 t="str">
        <f t="shared" si="2"/>
        <v/>
      </c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26"/>
      <c r="AB727" s="7"/>
      <c r="AC727" s="7"/>
      <c r="AD727" s="7"/>
      <c r="AE727" s="7"/>
      <c r="AF727" s="7"/>
      <c r="AG727" s="7"/>
    </row>
    <row r="728" spans="1:33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 t="str">
        <f t="shared" si="2"/>
        <v/>
      </c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26"/>
      <c r="AB728" s="7"/>
      <c r="AC728" s="7"/>
      <c r="AD728" s="7"/>
      <c r="AE728" s="7"/>
      <c r="AF728" s="7"/>
      <c r="AG728" s="7"/>
    </row>
    <row r="729" spans="1:33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 t="str">
        <f t="shared" si="2"/>
        <v/>
      </c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26"/>
      <c r="AB729" s="7"/>
      <c r="AC729" s="7"/>
      <c r="AD729" s="7"/>
      <c r="AE729" s="7"/>
      <c r="AF729" s="7"/>
      <c r="AG729" s="7"/>
    </row>
    <row r="730" spans="1:33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 t="str">
        <f t="shared" si="2"/>
        <v/>
      </c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26"/>
      <c r="AB730" s="7"/>
      <c r="AC730" s="7"/>
      <c r="AD730" s="7"/>
      <c r="AE730" s="7"/>
      <c r="AF730" s="7"/>
      <c r="AG730" s="7"/>
    </row>
    <row r="731" spans="1:33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 t="str">
        <f t="shared" si="2"/>
        <v/>
      </c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26"/>
      <c r="AB731" s="7"/>
      <c r="AC731" s="7"/>
      <c r="AD731" s="7"/>
      <c r="AE731" s="7"/>
      <c r="AF731" s="7"/>
      <c r="AG731" s="7"/>
    </row>
    <row r="732" spans="1:33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 t="str">
        <f t="shared" si="2"/>
        <v/>
      </c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26"/>
      <c r="AB732" s="7"/>
      <c r="AC732" s="7"/>
      <c r="AD732" s="7"/>
      <c r="AE732" s="7"/>
      <c r="AF732" s="7"/>
      <c r="AG732" s="7"/>
    </row>
    <row r="733" spans="1:33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 t="str">
        <f t="shared" si="2"/>
        <v/>
      </c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26"/>
      <c r="AB733" s="7"/>
      <c r="AC733" s="7"/>
      <c r="AD733" s="7"/>
      <c r="AE733" s="7"/>
      <c r="AF733" s="7"/>
      <c r="AG733" s="7"/>
    </row>
    <row r="734" spans="1:33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 t="str">
        <f t="shared" si="2"/>
        <v/>
      </c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26"/>
      <c r="AB734" s="7"/>
      <c r="AC734" s="7"/>
      <c r="AD734" s="7"/>
      <c r="AE734" s="7"/>
      <c r="AF734" s="7"/>
      <c r="AG734" s="7"/>
    </row>
    <row r="735" spans="1:33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 t="str">
        <f t="shared" si="2"/>
        <v/>
      </c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26"/>
      <c r="AB735" s="7"/>
      <c r="AC735" s="7"/>
      <c r="AD735" s="7"/>
      <c r="AE735" s="7"/>
      <c r="AF735" s="7"/>
      <c r="AG735" s="7"/>
    </row>
    <row r="736" spans="1:33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 t="str">
        <f t="shared" si="2"/>
        <v/>
      </c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26"/>
      <c r="AB736" s="7"/>
      <c r="AC736" s="7"/>
      <c r="AD736" s="7"/>
      <c r="AE736" s="7"/>
      <c r="AF736" s="7"/>
      <c r="AG736" s="7"/>
    </row>
    <row r="737" spans="1:33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 t="str">
        <f t="shared" si="2"/>
        <v/>
      </c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26"/>
      <c r="AB737" s="7"/>
      <c r="AC737" s="7"/>
      <c r="AD737" s="7"/>
      <c r="AE737" s="7"/>
      <c r="AF737" s="7"/>
      <c r="AG737" s="7"/>
    </row>
    <row r="738" spans="1:33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 t="str">
        <f t="shared" si="2"/>
        <v/>
      </c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26"/>
      <c r="AB738" s="7"/>
      <c r="AC738" s="7"/>
      <c r="AD738" s="7"/>
      <c r="AE738" s="7"/>
      <c r="AF738" s="7"/>
      <c r="AG738" s="7"/>
    </row>
    <row r="739" spans="1:33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 t="str">
        <f t="shared" si="2"/>
        <v/>
      </c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26"/>
      <c r="AB739" s="7"/>
      <c r="AC739" s="7"/>
      <c r="AD739" s="7"/>
      <c r="AE739" s="7"/>
      <c r="AF739" s="7"/>
      <c r="AG739" s="7"/>
    </row>
    <row r="740" spans="1:33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 t="str">
        <f t="shared" si="2"/>
        <v/>
      </c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26"/>
      <c r="AB740" s="7"/>
      <c r="AC740" s="7"/>
      <c r="AD740" s="7"/>
      <c r="AE740" s="7"/>
      <c r="AF740" s="7"/>
      <c r="AG740" s="7"/>
    </row>
    <row r="741" spans="1:33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 t="str">
        <f t="shared" si="2"/>
        <v/>
      </c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26"/>
      <c r="AB741" s="7"/>
      <c r="AC741" s="7"/>
      <c r="AD741" s="7"/>
      <c r="AE741" s="7"/>
      <c r="AF741" s="7"/>
      <c r="AG741" s="7"/>
    </row>
    <row r="742" spans="1:33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 t="str">
        <f t="shared" si="2"/>
        <v/>
      </c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26"/>
      <c r="AB742" s="7"/>
      <c r="AC742" s="7"/>
      <c r="AD742" s="7"/>
      <c r="AE742" s="7"/>
      <c r="AF742" s="7"/>
      <c r="AG742" s="7"/>
    </row>
    <row r="743" spans="1:33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 t="str">
        <f t="shared" si="2"/>
        <v/>
      </c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26"/>
      <c r="AB743" s="7"/>
      <c r="AC743" s="7"/>
      <c r="AD743" s="7"/>
      <c r="AE743" s="7"/>
      <c r="AF743" s="7"/>
      <c r="AG743" s="7"/>
    </row>
    <row r="744" spans="1:33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 t="str">
        <f t="shared" si="2"/>
        <v/>
      </c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26"/>
      <c r="AB744" s="7"/>
      <c r="AC744" s="7"/>
      <c r="AD744" s="7"/>
      <c r="AE744" s="7"/>
      <c r="AF744" s="7"/>
      <c r="AG744" s="7"/>
    </row>
    <row r="745" spans="1:33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26"/>
      <c r="AB745" s="7"/>
      <c r="AC745" s="7"/>
      <c r="AD745" s="7"/>
      <c r="AE745" s="7"/>
      <c r="AF745" s="7"/>
      <c r="AG745" s="7"/>
    </row>
    <row r="746" spans="1:33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26"/>
      <c r="AB746" s="7"/>
      <c r="AC746" s="7"/>
      <c r="AD746" s="7"/>
      <c r="AE746" s="7"/>
      <c r="AF746" s="7"/>
      <c r="AG746" s="7"/>
    </row>
    <row r="747" spans="1:33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26"/>
      <c r="AB747" s="7"/>
      <c r="AC747" s="7"/>
      <c r="AD747" s="7"/>
      <c r="AE747" s="7"/>
      <c r="AF747" s="7"/>
      <c r="AG747" s="7"/>
    </row>
    <row r="748" spans="1:33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26"/>
      <c r="AB748" s="7"/>
      <c r="AC748" s="7"/>
      <c r="AD748" s="7"/>
      <c r="AE748" s="7"/>
      <c r="AF748" s="7"/>
      <c r="AG748" s="7"/>
    </row>
    <row r="749" spans="1:33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26"/>
      <c r="AB749" s="7"/>
      <c r="AC749" s="7"/>
      <c r="AD749" s="7"/>
      <c r="AE749" s="7"/>
      <c r="AF749" s="7"/>
      <c r="AG749" s="7"/>
    </row>
    <row r="750" spans="1:33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26"/>
      <c r="AB750" s="7"/>
      <c r="AC750" s="7"/>
      <c r="AD750" s="7"/>
      <c r="AE750" s="7"/>
      <c r="AF750" s="7"/>
      <c r="AG750" s="7"/>
    </row>
    <row r="751" spans="1:33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26"/>
      <c r="AB751" s="7"/>
      <c r="AC751" s="7"/>
      <c r="AD751" s="7"/>
      <c r="AE751" s="7"/>
      <c r="AF751" s="7"/>
      <c r="AG751" s="7"/>
    </row>
    <row r="752" spans="1:33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26"/>
      <c r="AB752" s="7"/>
      <c r="AC752" s="7"/>
      <c r="AD752" s="7"/>
      <c r="AE752" s="7"/>
      <c r="AF752" s="7"/>
      <c r="AG752" s="7"/>
    </row>
    <row r="753" spans="1:33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26"/>
      <c r="AB753" s="7"/>
      <c r="AC753" s="7"/>
      <c r="AD753" s="7"/>
      <c r="AE753" s="7"/>
      <c r="AF753" s="7"/>
      <c r="AG753" s="7"/>
    </row>
    <row r="754" spans="1:33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26"/>
      <c r="AB754" s="7"/>
      <c r="AC754" s="7"/>
      <c r="AD754" s="7"/>
      <c r="AE754" s="7"/>
      <c r="AF754" s="7"/>
      <c r="AG754" s="7"/>
    </row>
    <row r="755" spans="1:33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26"/>
      <c r="AB755" s="7"/>
      <c r="AC755" s="7"/>
      <c r="AD755" s="7"/>
      <c r="AE755" s="7"/>
      <c r="AF755" s="7"/>
      <c r="AG755" s="7"/>
    </row>
    <row r="756" spans="1:33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26"/>
      <c r="AB756" s="7"/>
      <c r="AC756" s="7"/>
      <c r="AD756" s="7"/>
      <c r="AE756" s="7"/>
      <c r="AF756" s="7"/>
      <c r="AG756" s="7"/>
    </row>
    <row r="757" spans="1:33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26"/>
      <c r="AB757" s="7"/>
      <c r="AC757" s="7"/>
      <c r="AD757" s="7"/>
      <c r="AE757" s="7"/>
      <c r="AF757" s="7"/>
      <c r="AG757" s="7"/>
    </row>
    <row r="758" spans="1:33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26"/>
      <c r="AB758" s="7"/>
      <c r="AC758" s="7"/>
      <c r="AD758" s="7"/>
      <c r="AE758" s="7"/>
      <c r="AF758" s="7"/>
      <c r="AG758" s="7"/>
    </row>
    <row r="759" spans="1:33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26"/>
      <c r="AB759" s="7"/>
      <c r="AC759" s="7"/>
      <c r="AD759" s="7"/>
      <c r="AE759" s="7"/>
      <c r="AF759" s="7"/>
      <c r="AG759" s="7"/>
    </row>
    <row r="760" spans="1:33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26"/>
      <c r="AB760" s="7"/>
      <c r="AC760" s="7"/>
      <c r="AD760" s="7"/>
      <c r="AE760" s="7"/>
      <c r="AF760" s="7"/>
      <c r="AG760" s="7"/>
    </row>
    <row r="761" spans="1:33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26"/>
      <c r="AB761" s="7"/>
      <c r="AC761" s="7"/>
      <c r="AD761" s="7"/>
      <c r="AE761" s="7"/>
      <c r="AF761" s="7"/>
      <c r="AG761" s="7"/>
    </row>
    <row r="762" spans="1:33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26"/>
      <c r="AB762" s="7"/>
      <c r="AC762" s="7"/>
      <c r="AD762" s="7"/>
      <c r="AE762" s="7"/>
      <c r="AF762" s="7"/>
      <c r="AG762" s="7"/>
    </row>
    <row r="763" spans="1:33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26"/>
      <c r="AB763" s="7"/>
      <c r="AC763" s="7"/>
      <c r="AD763" s="7"/>
      <c r="AE763" s="7"/>
      <c r="AF763" s="7"/>
      <c r="AG763" s="7"/>
    </row>
    <row r="764" spans="1:33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26"/>
      <c r="AB764" s="7"/>
      <c r="AC764" s="7"/>
      <c r="AD764" s="7"/>
      <c r="AE764" s="7"/>
      <c r="AF764" s="7"/>
      <c r="AG764" s="7"/>
    </row>
    <row r="765" spans="1:33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26"/>
      <c r="AB765" s="7"/>
      <c r="AC765" s="7"/>
      <c r="AD765" s="7"/>
      <c r="AE765" s="7"/>
      <c r="AF765" s="7"/>
      <c r="AG765" s="7"/>
    </row>
    <row r="766" spans="1:33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26"/>
      <c r="AB766" s="7"/>
      <c r="AC766" s="7"/>
      <c r="AD766" s="7"/>
      <c r="AE766" s="7"/>
      <c r="AF766" s="7"/>
      <c r="AG766" s="7"/>
    </row>
    <row r="767" spans="1:33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26"/>
      <c r="AB767" s="7"/>
      <c r="AC767" s="7"/>
      <c r="AD767" s="7"/>
      <c r="AE767" s="7"/>
      <c r="AF767" s="7"/>
      <c r="AG767" s="7"/>
    </row>
    <row r="768" spans="1:33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26"/>
      <c r="AB768" s="7"/>
      <c r="AC768" s="7"/>
      <c r="AD768" s="7"/>
      <c r="AE768" s="7"/>
      <c r="AF768" s="7"/>
      <c r="AG768" s="7"/>
    </row>
    <row r="769" spans="1:33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26"/>
      <c r="AB769" s="7"/>
      <c r="AC769" s="7"/>
      <c r="AD769" s="7"/>
      <c r="AE769" s="7"/>
      <c r="AF769" s="7"/>
      <c r="AG769" s="7"/>
    </row>
    <row r="770" spans="1:33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26"/>
      <c r="AB770" s="7"/>
      <c r="AC770" s="7"/>
      <c r="AD770" s="7"/>
      <c r="AE770" s="7"/>
      <c r="AF770" s="7"/>
      <c r="AG770" s="7"/>
    </row>
    <row r="771" spans="1:33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26"/>
      <c r="AB771" s="7"/>
      <c r="AC771" s="7"/>
      <c r="AD771" s="7"/>
      <c r="AE771" s="7"/>
      <c r="AF771" s="7"/>
      <c r="AG771" s="7"/>
    </row>
    <row r="772" spans="1:33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26"/>
      <c r="AB772" s="7"/>
      <c r="AC772" s="7"/>
      <c r="AD772" s="7"/>
      <c r="AE772" s="7"/>
      <c r="AF772" s="7"/>
      <c r="AG772" s="7"/>
    </row>
    <row r="773" spans="1:33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26"/>
      <c r="AB773" s="7"/>
      <c r="AC773" s="7"/>
      <c r="AD773" s="7"/>
      <c r="AE773" s="7"/>
      <c r="AF773" s="7"/>
      <c r="AG773" s="7"/>
    </row>
    <row r="774" spans="1:33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26"/>
      <c r="AB774" s="7"/>
      <c r="AC774" s="7"/>
      <c r="AD774" s="7"/>
      <c r="AE774" s="7"/>
      <c r="AF774" s="7"/>
      <c r="AG774" s="7"/>
    </row>
    <row r="775" spans="1:33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26"/>
      <c r="AB775" s="7"/>
      <c r="AC775" s="7"/>
      <c r="AD775" s="7"/>
      <c r="AE775" s="7"/>
      <c r="AF775" s="7"/>
      <c r="AG775" s="7"/>
    </row>
    <row r="776" spans="1:33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26"/>
      <c r="AB776" s="7"/>
      <c r="AC776" s="7"/>
      <c r="AD776" s="7"/>
      <c r="AE776" s="7"/>
      <c r="AF776" s="7"/>
      <c r="AG776" s="7"/>
    </row>
    <row r="777" spans="1:33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26"/>
      <c r="AB777" s="7"/>
      <c r="AC777" s="7"/>
      <c r="AD777" s="7"/>
      <c r="AE777" s="7"/>
      <c r="AF777" s="7"/>
      <c r="AG777" s="7"/>
    </row>
    <row r="778" spans="1:33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26"/>
      <c r="AB778" s="7"/>
      <c r="AC778" s="7"/>
      <c r="AD778" s="7"/>
      <c r="AE778" s="7"/>
      <c r="AF778" s="7"/>
      <c r="AG778" s="7"/>
    </row>
    <row r="779" spans="1:33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26"/>
      <c r="AB779" s="7"/>
      <c r="AC779" s="7"/>
      <c r="AD779" s="7"/>
      <c r="AE779" s="7"/>
      <c r="AF779" s="7"/>
      <c r="AG779" s="7"/>
    </row>
    <row r="780" spans="1:33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26"/>
      <c r="AB780" s="7"/>
      <c r="AC780" s="7"/>
      <c r="AD780" s="7"/>
      <c r="AE780" s="7"/>
      <c r="AF780" s="7"/>
      <c r="AG780" s="7"/>
    </row>
    <row r="781" spans="1:33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26"/>
      <c r="AB781" s="7"/>
      <c r="AC781" s="7"/>
      <c r="AD781" s="7"/>
      <c r="AE781" s="7"/>
      <c r="AF781" s="7"/>
      <c r="AG781" s="7"/>
    </row>
    <row r="782" spans="1:33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26"/>
      <c r="AB782" s="7"/>
      <c r="AC782" s="7"/>
      <c r="AD782" s="7"/>
      <c r="AE782" s="7"/>
      <c r="AF782" s="7"/>
      <c r="AG782" s="7"/>
    </row>
    <row r="783" spans="1:33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26"/>
      <c r="AB783" s="7"/>
      <c r="AC783" s="7"/>
      <c r="AD783" s="7"/>
      <c r="AE783" s="7"/>
      <c r="AF783" s="7"/>
      <c r="AG783" s="7"/>
    </row>
    <row r="784" spans="1:33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26"/>
      <c r="AB784" s="7"/>
      <c r="AC784" s="7"/>
      <c r="AD784" s="7"/>
      <c r="AE784" s="7"/>
      <c r="AF784" s="7"/>
      <c r="AG784" s="7"/>
    </row>
    <row r="785" spans="1:33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26"/>
      <c r="AB785" s="7"/>
      <c r="AC785" s="7"/>
      <c r="AD785" s="7"/>
      <c r="AE785" s="7"/>
      <c r="AF785" s="7"/>
      <c r="AG785" s="7"/>
    </row>
    <row r="786" spans="1:33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26"/>
      <c r="AB786" s="7"/>
      <c r="AC786" s="7"/>
      <c r="AD786" s="7"/>
      <c r="AE786" s="7"/>
      <c r="AF786" s="7"/>
      <c r="AG786" s="7"/>
    </row>
    <row r="787" spans="1:33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26"/>
      <c r="AB787" s="7"/>
      <c r="AC787" s="7"/>
      <c r="AD787" s="7"/>
      <c r="AE787" s="7"/>
      <c r="AF787" s="7"/>
      <c r="AG787" s="7"/>
    </row>
    <row r="788" spans="1:33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26"/>
      <c r="AB788" s="7"/>
      <c r="AC788" s="7"/>
      <c r="AD788" s="7"/>
      <c r="AE788" s="7"/>
      <c r="AF788" s="7"/>
      <c r="AG788" s="7"/>
    </row>
    <row r="789" spans="1:33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26"/>
      <c r="AB789" s="7"/>
      <c r="AC789" s="7"/>
      <c r="AD789" s="7"/>
      <c r="AE789" s="7"/>
      <c r="AF789" s="7"/>
      <c r="AG789" s="7"/>
    </row>
    <row r="790" spans="1:33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26"/>
      <c r="AB790" s="7"/>
      <c r="AC790" s="7"/>
      <c r="AD790" s="7"/>
      <c r="AE790" s="7"/>
      <c r="AF790" s="7"/>
      <c r="AG790" s="7"/>
    </row>
    <row r="791" spans="1:33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26"/>
      <c r="AB791" s="7"/>
      <c r="AC791" s="7"/>
      <c r="AD791" s="7"/>
      <c r="AE791" s="7"/>
      <c r="AF791" s="7"/>
      <c r="AG791" s="7"/>
    </row>
    <row r="792" spans="1:33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26"/>
      <c r="AB792" s="7"/>
      <c r="AC792" s="7"/>
      <c r="AD792" s="7"/>
      <c r="AE792" s="7"/>
      <c r="AF792" s="7"/>
      <c r="AG792" s="7"/>
    </row>
    <row r="793" spans="1:33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26"/>
      <c r="AB793" s="7"/>
      <c r="AC793" s="7"/>
      <c r="AD793" s="7"/>
      <c r="AE793" s="7"/>
      <c r="AF793" s="7"/>
      <c r="AG793" s="7"/>
    </row>
    <row r="794" spans="1:33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26"/>
      <c r="AB794" s="7"/>
      <c r="AC794" s="7"/>
      <c r="AD794" s="7"/>
      <c r="AE794" s="7"/>
      <c r="AF794" s="7"/>
      <c r="AG794" s="7"/>
    </row>
    <row r="795" spans="1:33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26"/>
      <c r="AB795" s="7"/>
      <c r="AC795" s="7"/>
      <c r="AD795" s="7"/>
      <c r="AE795" s="7"/>
      <c r="AF795" s="7"/>
      <c r="AG795" s="7"/>
    </row>
    <row r="796" spans="1:33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26"/>
      <c r="AB796" s="7"/>
      <c r="AC796" s="7"/>
      <c r="AD796" s="7"/>
      <c r="AE796" s="7"/>
      <c r="AF796" s="7"/>
      <c r="AG796" s="7"/>
    </row>
    <row r="797" spans="1:33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26"/>
      <c r="AB797" s="7"/>
      <c r="AC797" s="7"/>
      <c r="AD797" s="7"/>
      <c r="AE797" s="7"/>
      <c r="AF797" s="7"/>
      <c r="AG797" s="7"/>
    </row>
    <row r="798" spans="1:33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26"/>
      <c r="AB798" s="7"/>
      <c r="AC798" s="7"/>
      <c r="AD798" s="7"/>
      <c r="AE798" s="7"/>
      <c r="AF798" s="7"/>
      <c r="AG798" s="7"/>
    </row>
    <row r="799" spans="1:33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26"/>
      <c r="AB799" s="7"/>
      <c r="AC799" s="7"/>
      <c r="AD799" s="7"/>
      <c r="AE799" s="7"/>
      <c r="AF799" s="7"/>
      <c r="AG799" s="7"/>
    </row>
    <row r="800" spans="1:33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26"/>
      <c r="AB800" s="7"/>
      <c r="AC800" s="7"/>
      <c r="AD800" s="7"/>
      <c r="AE800" s="7"/>
      <c r="AF800" s="7"/>
      <c r="AG800" s="7"/>
    </row>
    <row r="801" spans="1:33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26"/>
      <c r="AB801" s="7"/>
      <c r="AC801" s="7"/>
      <c r="AD801" s="7"/>
      <c r="AE801" s="7"/>
      <c r="AF801" s="7"/>
      <c r="AG801" s="7"/>
    </row>
    <row r="802" spans="1:33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26"/>
      <c r="AB802" s="7"/>
      <c r="AC802" s="7"/>
      <c r="AD802" s="7"/>
      <c r="AE802" s="7"/>
      <c r="AF802" s="7"/>
      <c r="AG802" s="7"/>
    </row>
    <row r="803" spans="1:33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26"/>
      <c r="AB803" s="7"/>
      <c r="AC803" s="7"/>
      <c r="AD803" s="7"/>
      <c r="AE803" s="7"/>
      <c r="AF803" s="7"/>
      <c r="AG803" s="7"/>
    </row>
    <row r="804" spans="1:33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26"/>
      <c r="AB804" s="7"/>
      <c r="AC804" s="7"/>
      <c r="AD804" s="7"/>
      <c r="AE804" s="7"/>
      <c r="AF804" s="7"/>
      <c r="AG804" s="7"/>
    </row>
    <row r="805" spans="1:33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26"/>
      <c r="AB805" s="7"/>
      <c r="AC805" s="7"/>
      <c r="AD805" s="7"/>
      <c r="AE805" s="7"/>
      <c r="AF805" s="7"/>
      <c r="AG805" s="7"/>
    </row>
    <row r="806" spans="1:33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26"/>
      <c r="AB806" s="7"/>
      <c r="AC806" s="7"/>
      <c r="AD806" s="7"/>
      <c r="AE806" s="7"/>
      <c r="AF806" s="7"/>
      <c r="AG806" s="7"/>
    </row>
    <row r="807" spans="1:33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26"/>
      <c r="AB807" s="7"/>
      <c r="AC807" s="7"/>
      <c r="AD807" s="7"/>
      <c r="AE807" s="7"/>
      <c r="AF807" s="7"/>
      <c r="AG807" s="7"/>
    </row>
    <row r="808" spans="1:33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26"/>
      <c r="AB808" s="7"/>
      <c r="AC808" s="7"/>
      <c r="AD808" s="7"/>
      <c r="AE808" s="7"/>
      <c r="AF808" s="7"/>
      <c r="AG808" s="7"/>
    </row>
    <row r="809" spans="1:33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26"/>
      <c r="AB809" s="7"/>
      <c r="AC809" s="7"/>
      <c r="AD809" s="7"/>
      <c r="AE809" s="7"/>
      <c r="AF809" s="7"/>
      <c r="AG809" s="7"/>
    </row>
    <row r="810" spans="1:33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26"/>
      <c r="AB810" s="7"/>
      <c r="AC810" s="7"/>
      <c r="AD810" s="7"/>
      <c r="AE810" s="7"/>
      <c r="AF810" s="7"/>
      <c r="AG810" s="7"/>
    </row>
    <row r="811" spans="1:33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26"/>
      <c r="AB811" s="7"/>
      <c r="AC811" s="7"/>
      <c r="AD811" s="7"/>
      <c r="AE811" s="7"/>
      <c r="AF811" s="7"/>
      <c r="AG811" s="7"/>
    </row>
    <row r="812" spans="1:33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26"/>
      <c r="AB812" s="7"/>
      <c r="AC812" s="7"/>
      <c r="AD812" s="7"/>
      <c r="AE812" s="7"/>
      <c r="AF812" s="7"/>
      <c r="AG812" s="7"/>
    </row>
    <row r="813" spans="1:33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26"/>
      <c r="AB813" s="7"/>
      <c r="AC813" s="7"/>
      <c r="AD813" s="7"/>
      <c r="AE813" s="7"/>
      <c r="AF813" s="7"/>
      <c r="AG813" s="7"/>
    </row>
    <row r="814" spans="1:33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26"/>
      <c r="AB814" s="7"/>
      <c r="AC814" s="7"/>
      <c r="AD814" s="7"/>
      <c r="AE814" s="7"/>
      <c r="AF814" s="7"/>
      <c r="AG814" s="7"/>
    </row>
    <row r="815" spans="1:33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26"/>
      <c r="AB815" s="7"/>
      <c r="AC815" s="7"/>
      <c r="AD815" s="7"/>
      <c r="AE815" s="7"/>
      <c r="AF815" s="7"/>
      <c r="AG815" s="7"/>
    </row>
    <row r="816" spans="1:33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26"/>
      <c r="AB816" s="7"/>
      <c r="AC816" s="7"/>
      <c r="AD816" s="7"/>
      <c r="AE816" s="7"/>
      <c r="AF816" s="7"/>
      <c r="AG816" s="7"/>
    </row>
    <row r="817" spans="1:33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26"/>
      <c r="AB817" s="7"/>
      <c r="AC817" s="7"/>
      <c r="AD817" s="7"/>
      <c r="AE817" s="7"/>
      <c r="AF817" s="7"/>
      <c r="AG817" s="7"/>
    </row>
    <row r="818" spans="1:33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26"/>
      <c r="AB818" s="7"/>
      <c r="AC818" s="7"/>
      <c r="AD818" s="7"/>
      <c r="AE818" s="7"/>
      <c r="AF818" s="7"/>
      <c r="AG818" s="7"/>
    </row>
    <row r="819" spans="1:33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26"/>
      <c r="AB819" s="7"/>
      <c r="AC819" s="7"/>
      <c r="AD819" s="7"/>
      <c r="AE819" s="7"/>
      <c r="AF819" s="7"/>
      <c r="AG819" s="7"/>
    </row>
    <row r="820" spans="1:33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26"/>
      <c r="AB820" s="7"/>
      <c r="AC820" s="7"/>
      <c r="AD820" s="7"/>
      <c r="AE820" s="7"/>
      <c r="AF820" s="7"/>
      <c r="AG820" s="7"/>
    </row>
    <row r="821" spans="1:33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26"/>
      <c r="AB821" s="7"/>
      <c r="AC821" s="7"/>
      <c r="AD821" s="7"/>
      <c r="AE821" s="7"/>
      <c r="AF821" s="7"/>
      <c r="AG821" s="7"/>
    </row>
    <row r="822" spans="1:33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26"/>
      <c r="AB822" s="7"/>
      <c r="AC822" s="7"/>
      <c r="AD822" s="7"/>
      <c r="AE822" s="7"/>
      <c r="AF822" s="7"/>
      <c r="AG822" s="7"/>
    </row>
    <row r="823" spans="1:33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26"/>
      <c r="AB823" s="7"/>
      <c r="AC823" s="7"/>
      <c r="AD823" s="7"/>
      <c r="AE823" s="7"/>
      <c r="AF823" s="7"/>
      <c r="AG823" s="7"/>
    </row>
    <row r="824" spans="1:33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26"/>
      <c r="AB824" s="7"/>
      <c r="AC824" s="7"/>
      <c r="AD824" s="7"/>
      <c r="AE824" s="7"/>
      <c r="AF824" s="7"/>
      <c r="AG824" s="7"/>
    </row>
    <row r="825" spans="1:33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26"/>
      <c r="AB825" s="7"/>
      <c r="AC825" s="7"/>
      <c r="AD825" s="7"/>
      <c r="AE825" s="7"/>
      <c r="AF825" s="7"/>
      <c r="AG825" s="7"/>
    </row>
    <row r="826" spans="1:33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26"/>
      <c r="AB826" s="7"/>
      <c r="AC826" s="7"/>
      <c r="AD826" s="7"/>
      <c r="AE826" s="7"/>
      <c r="AF826" s="7"/>
      <c r="AG826" s="7"/>
    </row>
    <row r="827" spans="1:33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26"/>
      <c r="AB827" s="7"/>
      <c r="AC827" s="7"/>
      <c r="AD827" s="7"/>
      <c r="AE827" s="7"/>
      <c r="AF827" s="7"/>
      <c r="AG827" s="7"/>
    </row>
    <row r="828" spans="1:33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26"/>
      <c r="AB828" s="7"/>
      <c r="AC828" s="7"/>
      <c r="AD828" s="7"/>
      <c r="AE828" s="7"/>
      <c r="AF828" s="7"/>
      <c r="AG828" s="7"/>
    </row>
    <row r="829" spans="1:33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26"/>
      <c r="AB829" s="7"/>
      <c r="AC829" s="7"/>
      <c r="AD829" s="7"/>
      <c r="AE829" s="7"/>
      <c r="AF829" s="7"/>
      <c r="AG829" s="7"/>
    </row>
    <row r="830" spans="1:33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26"/>
      <c r="AB830" s="7"/>
      <c r="AC830" s="7"/>
      <c r="AD830" s="7"/>
      <c r="AE830" s="7"/>
      <c r="AF830" s="7"/>
      <c r="AG830" s="7"/>
    </row>
    <row r="831" spans="1:33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26"/>
      <c r="AB831" s="7"/>
      <c r="AC831" s="7"/>
      <c r="AD831" s="7"/>
      <c r="AE831" s="7"/>
      <c r="AF831" s="7"/>
      <c r="AG831" s="7"/>
    </row>
    <row r="832" spans="1:33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26"/>
      <c r="AB832" s="7"/>
      <c r="AC832" s="7"/>
      <c r="AD832" s="7"/>
      <c r="AE832" s="7"/>
      <c r="AF832" s="7"/>
      <c r="AG832" s="7"/>
    </row>
    <row r="833" spans="1:33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26"/>
      <c r="AB833" s="7"/>
      <c r="AC833" s="7"/>
      <c r="AD833" s="7"/>
      <c r="AE833" s="7"/>
      <c r="AF833" s="7"/>
      <c r="AG833" s="7"/>
    </row>
    <row r="834" spans="1:33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26"/>
      <c r="AB834" s="7"/>
      <c r="AC834" s="7"/>
      <c r="AD834" s="7"/>
      <c r="AE834" s="7"/>
      <c r="AF834" s="7"/>
      <c r="AG834" s="7"/>
    </row>
    <row r="835" spans="1:33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26"/>
      <c r="AB835" s="7"/>
      <c r="AC835" s="7"/>
      <c r="AD835" s="7"/>
      <c r="AE835" s="7"/>
      <c r="AF835" s="7"/>
      <c r="AG835" s="7"/>
    </row>
    <row r="836" spans="1:33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26"/>
      <c r="AB836" s="7"/>
      <c r="AC836" s="7"/>
      <c r="AD836" s="7"/>
      <c r="AE836" s="7"/>
      <c r="AF836" s="7"/>
      <c r="AG836" s="7"/>
    </row>
    <row r="837" spans="1:33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26"/>
      <c r="AB837" s="7"/>
      <c r="AC837" s="7"/>
      <c r="AD837" s="7"/>
      <c r="AE837" s="7"/>
      <c r="AF837" s="7"/>
      <c r="AG837" s="7"/>
    </row>
    <row r="838" spans="1:33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26"/>
      <c r="AB838" s="7"/>
      <c r="AC838" s="7"/>
      <c r="AD838" s="7"/>
      <c r="AE838" s="7"/>
      <c r="AF838" s="7"/>
      <c r="AG838" s="7"/>
    </row>
    <row r="839" spans="1:33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26"/>
      <c r="AB839" s="7"/>
      <c r="AC839" s="7"/>
      <c r="AD839" s="7"/>
      <c r="AE839" s="7"/>
      <c r="AF839" s="7"/>
      <c r="AG839" s="7"/>
    </row>
    <row r="840" spans="1:33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26"/>
      <c r="AB840" s="7"/>
      <c r="AC840" s="7"/>
      <c r="AD840" s="7"/>
      <c r="AE840" s="7"/>
      <c r="AF840" s="7"/>
      <c r="AG840" s="7"/>
    </row>
    <row r="841" spans="1:33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26"/>
      <c r="AB841" s="7"/>
      <c r="AC841" s="7"/>
      <c r="AD841" s="7"/>
      <c r="AE841" s="7"/>
      <c r="AF841" s="7"/>
      <c r="AG841" s="7"/>
    </row>
    <row r="842" spans="1:33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26"/>
      <c r="AB842" s="7"/>
      <c r="AC842" s="7"/>
      <c r="AD842" s="7"/>
      <c r="AE842" s="7"/>
      <c r="AF842" s="7"/>
      <c r="AG842" s="7"/>
    </row>
    <row r="843" spans="1:33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26"/>
      <c r="AB843" s="7"/>
      <c r="AC843" s="7"/>
      <c r="AD843" s="7"/>
      <c r="AE843" s="7"/>
      <c r="AF843" s="7"/>
      <c r="AG843" s="7"/>
    </row>
    <row r="844" spans="1:33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26"/>
      <c r="AB844" s="7"/>
      <c r="AC844" s="7"/>
      <c r="AD844" s="7"/>
      <c r="AE844" s="7"/>
      <c r="AF844" s="7"/>
      <c r="AG844" s="7"/>
    </row>
    <row r="845" spans="1:33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26"/>
      <c r="AB845" s="7"/>
      <c r="AC845" s="7"/>
      <c r="AD845" s="7"/>
      <c r="AE845" s="7"/>
      <c r="AF845" s="7"/>
      <c r="AG845" s="7"/>
    </row>
    <row r="846" spans="1:33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26"/>
      <c r="AB846" s="7"/>
      <c r="AC846" s="7"/>
      <c r="AD846" s="7"/>
      <c r="AE846" s="7"/>
      <c r="AF846" s="7"/>
      <c r="AG846" s="7"/>
    </row>
    <row r="847" spans="1:33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26"/>
      <c r="AB847" s="7"/>
      <c r="AC847" s="7"/>
      <c r="AD847" s="7"/>
      <c r="AE847" s="7"/>
      <c r="AF847" s="7"/>
      <c r="AG847" s="7"/>
    </row>
    <row r="848" spans="1:33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26"/>
      <c r="AB848" s="7"/>
      <c r="AC848" s="7"/>
      <c r="AD848" s="7"/>
      <c r="AE848" s="7"/>
      <c r="AF848" s="7"/>
      <c r="AG848" s="7"/>
    </row>
    <row r="849" spans="1:33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26"/>
      <c r="AB849" s="7"/>
      <c r="AC849" s="7"/>
      <c r="AD849" s="7"/>
      <c r="AE849" s="7"/>
      <c r="AF849" s="7"/>
      <c r="AG849" s="7"/>
    </row>
    <row r="850" spans="1:33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26"/>
      <c r="AB850" s="7"/>
      <c r="AC850" s="7"/>
      <c r="AD850" s="7"/>
      <c r="AE850" s="7"/>
      <c r="AF850" s="7"/>
      <c r="AG850" s="7"/>
    </row>
    <row r="851" spans="1:33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26"/>
      <c r="AB851" s="7"/>
      <c r="AC851" s="7"/>
      <c r="AD851" s="7"/>
      <c r="AE851" s="7"/>
      <c r="AF851" s="7"/>
      <c r="AG851" s="7"/>
    </row>
    <row r="852" spans="1:33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26"/>
      <c r="AB852" s="7"/>
      <c r="AC852" s="7"/>
      <c r="AD852" s="7"/>
      <c r="AE852" s="7"/>
      <c r="AF852" s="7"/>
      <c r="AG852" s="7"/>
    </row>
    <row r="853" spans="1:33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26"/>
      <c r="AB853" s="7"/>
      <c r="AC853" s="7"/>
      <c r="AD853" s="7"/>
      <c r="AE853" s="7"/>
      <c r="AF853" s="7"/>
      <c r="AG853" s="7"/>
    </row>
    <row r="854" spans="1:33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26"/>
      <c r="AB854" s="7"/>
      <c r="AC854" s="7"/>
      <c r="AD854" s="7"/>
      <c r="AE854" s="7"/>
      <c r="AF854" s="7"/>
      <c r="AG854" s="7"/>
    </row>
    <row r="855" spans="1:33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26"/>
      <c r="AB855" s="7"/>
      <c r="AC855" s="7"/>
      <c r="AD855" s="7"/>
      <c r="AE855" s="7"/>
      <c r="AF855" s="7"/>
      <c r="AG855" s="7"/>
    </row>
    <row r="856" spans="1:33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26"/>
      <c r="AB856" s="7"/>
      <c r="AC856" s="7"/>
      <c r="AD856" s="7"/>
      <c r="AE856" s="7"/>
      <c r="AF856" s="7"/>
      <c r="AG856" s="7"/>
    </row>
    <row r="857" spans="1:33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26"/>
      <c r="AB857" s="7"/>
      <c r="AC857" s="7"/>
      <c r="AD857" s="7"/>
      <c r="AE857" s="7"/>
      <c r="AF857" s="7"/>
      <c r="AG857" s="7"/>
    </row>
    <row r="858" spans="1:33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26"/>
      <c r="AB858" s="7"/>
      <c r="AC858" s="7"/>
      <c r="AD858" s="7"/>
      <c r="AE858" s="7"/>
      <c r="AF858" s="7"/>
      <c r="AG858" s="7"/>
    </row>
    <row r="859" spans="1:33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26"/>
      <c r="AB859" s="7"/>
      <c r="AC859" s="7"/>
      <c r="AD859" s="7"/>
      <c r="AE859" s="7"/>
      <c r="AF859" s="7"/>
      <c r="AG859" s="7"/>
    </row>
    <row r="860" spans="1:33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26"/>
      <c r="AB860" s="7"/>
      <c r="AC860" s="7"/>
      <c r="AD860" s="7"/>
      <c r="AE860" s="7"/>
      <c r="AF860" s="7"/>
      <c r="AG860" s="7"/>
    </row>
    <row r="861" spans="1:33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26"/>
      <c r="AB861" s="7"/>
      <c r="AC861" s="7"/>
      <c r="AD861" s="7"/>
      <c r="AE861" s="7"/>
      <c r="AF861" s="7"/>
      <c r="AG861" s="7"/>
    </row>
    <row r="862" spans="1:33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26"/>
      <c r="AB862" s="7"/>
      <c r="AC862" s="7"/>
      <c r="AD862" s="7"/>
      <c r="AE862" s="7"/>
      <c r="AF862" s="7"/>
      <c r="AG862" s="7"/>
    </row>
    <row r="863" spans="1:33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26"/>
      <c r="AB863" s="7"/>
      <c r="AC863" s="7"/>
      <c r="AD863" s="7"/>
      <c r="AE863" s="7"/>
      <c r="AF863" s="7"/>
      <c r="AG863" s="7"/>
    </row>
    <row r="864" spans="1:33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26"/>
      <c r="AB864" s="7"/>
      <c r="AC864" s="7"/>
      <c r="AD864" s="7"/>
      <c r="AE864" s="7"/>
      <c r="AF864" s="7"/>
      <c r="AG864" s="7"/>
    </row>
    <row r="865" spans="1:33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26"/>
      <c r="AB865" s="7"/>
      <c r="AC865" s="7"/>
      <c r="AD865" s="7"/>
      <c r="AE865" s="7"/>
      <c r="AF865" s="7"/>
      <c r="AG865" s="7"/>
    </row>
    <row r="866" spans="1:33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26"/>
      <c r="AB866" s="7"/>
      <c r="AC866" s="7"/>
      <c r="AD866" s="7"/>
      <c r="AE866" s="7"/>
      <c r="AF866" s="7"/>
      <c r="AG866" s="7"/>
    </row>
    <row r="867" spans="1:33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26"/>
      <c r="AB867" s="7"/>
      <c r="AC867" s="7"/>
      <c r="AD867" s="7"/>
      <c r="AE867" s="7"/>
      <c r="AF867" s="7"/>
      <c r="AG867" s="7"/>
    </row>
    <row r="868" spans="1:33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26"/>
      <c r="AB868" s="7"/>
      <c r="AC868" s="7"/>
      <c r="AD868" s="7"/>
      <c r="AE868" s="7"/>
      <c r="AF868" s="7"/>
      <c r="AG868" s="7"/>
    </row>
    <row r="869" spans="1:33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26"/>
      <c r="AB869" s="7"/>
      <c r="AC869" s="7"/>
      <c r="AD869" s="7"/>
      <c r="AE869" s="7"/>
      <c r="AF869" s="7"/>
      <c r="AG869" s="7"/>
    </row>
    <row r="870" spans="1:33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26"/>
      <c r="AB870" s="7"/>
      <c r="AC870" s="7"/>
      <c r="AD870" s="7"/>
      <c r="AE870" s="7"/>
      <c r="AF870" s="7"/>
      <c r="AG870" s="7"/>
    </row>
    <row r="871" spans="1:33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26"/>
      <c r="AB871" s="7"/>
      <c r="AC871" s="7"/>
      <c r="AD871" s="7"/>
      <c r="AE871" s="7"/>
      <c r="AF871" s="7"/>
      <c r="AG871" s="7"/>
    </row>
    <row r="872" spans="1:33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26"/>
      <c r="AB872" s="7"/>
      <c r="AC872" s="7"/>
      <c r="AD872" s="7"/>
      <c r="AE872" s="7"/>
      <c r="AF872" s="7"/>
      <c r="AG872" s="7"/>
    </row>
    <row r="873" spans="1:33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26"/>
      <c r="AB873" s="7"/>
      <c r="AC873" s="7"/>
      <c r="AD873" s="7"/>
      <c r="AE873" s="7"/>
      <c r="AF873" s="7"/>
      <c r="AG873" s="7"/>
    </row>
    <row r="874" spans="1:33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26"/>
      <c r="AB874" s="7"/>
      <c r="AC874" s="7"/>
      <c r="AD874" s="7"/>
      <c r="AE874" s="7"/>
      <c r="AF874" s="7"/>
      <c r="AG874" s="7"/>
    </row>
    <row r="875" spans="1:33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26"/>
      <c r="AB875" s="7"/>
      <c r="AC875" s="7"/>
      <c r="AD875" s="7"/>
      <c r="AE875" s="7"/>
      <c r="AF875" s="7"/>
      <c r="AG875" s="7"/>
    </row>
    <row r="876" spans="1:33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26"/>
      <c r="AB876" s="7"/>
      <c r="AC876" s="7"/>
      <c r="AD876" s="7"/>
      <c r="AE876" s="7"/>
      <c r="AF876" s="7"/>
      <c r="AG876" s="7"/>
    </row>
    <row r="877" spans="1:33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26"/>
      <c r="AB877" s="7"/>
      <c r="AC877" s="7"/>
      <c r="AD877" s="7"/>
      <c r="AE877" s="7"/>
      <c r="AF877" s="7"/>
      <c r="AG877" s="7"/>
    </row>
    <row r="878" spans="1:33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26"/>
      <c r="AB878" s="7"/>
      <c r="AC878" s="7"/>
      <c r="AD878" s="7"/>
      <c r="AE878" s="7"/>
      <c r="AF878" s="7"/>
      <c r="AG878" s="7"/>
    </row>
    <row r="879" spans="1:33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26"/>
      <c r="AB879" s="7"/>
      <c r="AC879" s="7"/>
      <c r="AD879" s="7"/>
      <c r="AE879" s="7"/>
      <c r="AF879" s="7"/>
      <c r="AG879" s="7"/>
    </row>
    <row r="880" spans="1:33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26"/>
      <c r="AB880" s="7"/>
      <c r="AC880" s="7"/>
      <c r="AD880" s="7"/>
      <c r="AE880" s="7"/>
      <c r="AF880" s="7"/>
      <c r="AG880" s="7"/>
    </row>
    <row r="881" spans="1:33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26"/>
      <c r="AB881" s="7"/>
      <c r="AC881" s="7"/>
      <c r="AD881" s="7"/>
      <c r="AE881" s="7"/>
      <c r="AF881" s="7"/>
      <c r="AG881" s="7"/>
    </row>
    <row r="882" spans="1:33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26"/>
      <c r="AB882" s="7"/>
      <c r="AC882" s="7"/>
      <c r="AD882" s="7"/>
      <c r="AE882" s="7"/>
      <c r="AF882" s="7"/>
      <c r="AG882" s="7"/>
    </row>
    <row r="883" spans="1:33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26"/>
      <c r="AB883" s="7"/>
      <c r="AC883" s="7"/>
      <c r="AD883" s="7"/>
      <c r="AE883" s="7"/>
      <c r="AF883" s="7"/>
      <c r="AG883" s="7"/>
    </row>
    <row r="884" spans="1:33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26"/>
      <c r="AB884" s="7"/>
      <c r="AC884" s="7"/>
      <c r="AD884" s="7"/>
      <c r="AE884" s="7"/>
      <c r="AF884" s="7"/>
      <c r="AG884" s="7"/>
    </row>
    <row r="885" spans="1:33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26"/>
      <c r="AB885" s="7"/>
      <c r="AC885" s="7"/>
      <c r="AD885" s="7"/>
      <c r="AE885" s="7"/>
      <c r="AF885" s="7"/>
      <c r="AG885" s="7"/>
    </row>
    <row r="886" spans="1:33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26"/>
      <c r="AB886" s="7"/>
      <c r="AC886" s="7"/>
      <c r="AD886" s="7"/>
      <c r="AE886" s="7"/>
      <c r="AF886" s="7"/>
      <c r="AG886" s="7"/>
    </row>
    <row r="887" spans="1:33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26"/>
      <c r="AB887" s="7"/>
      <c r="AC887" s="7"/>
      <c r="AD887" s="7"/>
      <c r="AE887" s="7"/>
      <c r="AF887" s="7"/>
      <c r="AG887" s="7"/>
    </row>
    <row r="888" spans="1:33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26"/>
      <c r="AB888" s="7"/>
      <c r="AC888" s="7"/>
      <c r="AD888" s="7"/>
      <c r="AE888" s="7"/>
      <c r="AF888" s="7"/>
      <c r="AG888" s="7"/>
    </row>
    <row r="889" spans="1:33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26"/>
      <c r="AB889" s="7"/>
      <c r="AC889" s="7"/>
      <c r="AD889" s="7"/>
      <c r="AE889" s="7"/>
      <c r="AF889" s="7"/>
      <c r="AG889" s="7"/>
    </row>
    <row r="890" spans="1:33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26"/>
      <c r="AB890" s="7"/>
      <c r="AC890" s="7"/>
      <c r="AD890" s="7"/>
      <c r="AE890" s="7"/>
      <c r="AF890" s="7"/>
      <c r="AG890" s="7"/>
    </row>
    <row r="891" spans="1:33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26"/>
      <c r="AB891" s="7"/>
      <c r="AC891" s="7"/>
      <c r="AD891" s="7"/>
      <c r="AE891" s="7"/>
      <c r="AF891" s="7"/>
      <c r="AG891" s="7"/>
    </row>
    <row r="892" spans="1:33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26"/>
      <c r="AB892" s="7"/>
      <c r="AC892" s="7"/>
      <c r="AD892" s="7"/>
      <c r="AE892" s="7"/>
      <c r="AF892" s="7"/>
      <c r="AG892" s="7"/>
    </row>
    <row r="893" spans="1:33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26"/>
      <c r="AB893" s="7"/>
      <c r="AC893" s="7"/>
      <c r="AD893" s="7"/>
      <c r="AE893" s="7"/>
      <c r="AF893" s="7"/>
      <c r="AG893" s="7"/>
    </row>
    <row r="894" spans="1:33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26"/>
      <c r="AB894" s="7"/>
      <c r="AC894" s="7"/>
      <c r="AD894" s="7"/>
      <c r="AE894" s="7"/>
      <c r="AF894" s="7"/>
      <c r="AG894" s="7"/>
    </row>
    <row r="895" spans="1:33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26"/>
      <c r="AB895" s="7"/>
      <c r="AC895" s="7"/>
      <c r="AD895" s="7"/>
      <c r="AE895" s="7"/>
      <c r="AF895" s="7"/>
      <c r="AG895" s="7"/>
    </row>
    <row r="896" spans="1:33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26"/>
      <c r="AB896" s="7"/>
      <c r="AC896" s="7"/>
      <c r="AD896" s="7"/>
      <c r="AE896" s="7"/>
      <c r="AF896" s="7"/>
      <c r="AG896" s="7"/>
    </row>
    <row r="897" spans="1:33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26"/>
      <c r="AB897" s="7"/>
      <c r="AC897" s="7"/>
      <c r="AD897" s="7"/>
      <c r="AE897" s="7"/>
      <c r="AF897" s="7"/>
      <c r="AG897" s="7"/>
    </row>
    <row r="898" spans="1:33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26"/>
      <c r="AB898" s="7"/>
      <c r="AC898" s="7"/>
      <c r="AD898" s="7"/>
      <c r="AE898" s="7"/>
      <c r="AF898" s="7"/>
      <c r="AG898" s="7"/>
    </row>
    <row r="899" spans="1:33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26"/>
      <c r="AB899" s="7"/>
      <c r="AC899" s="7"/>
      <c r="AD899" s="7"/>
      <c r="AE899" s="7"/>
      <c r="AF899" s="7"/>
      <c r="AG899" s="7"/>
    </row>
    <row r="900" spans="1:33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26"/>
      <c r="AB900" s="7"/>
      <c r="AC900" s="7"/>
      <c r="AD900" s="7"/>
      <c r="AE900" s="7"/>
      <c r="AF900" s="7"/>
      <c r="AG900" s="7"/>
    </row>
    <row r="901" spans="1:33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26"/>
      <c r="AB901" s="7"/>
      <c r="AC901" s="7"/>
      <c r="AD901" s="7"/>
      <c r="AE901" s="7"/>
      <c r="AF901" s="7"/>
      <c r="AG901" s="7"/>
    </row>
    <row r="902" spans="1:33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26"/>
      <c r="AB902" s="7"/>
      <c r="AC902" s="7"/>
      <c r="AD902" s="7"/>
      <c r="AE902" s="7"/>
      <c r="AF902" s="7"/>
      <c r="AG902" s="7"/>
    </row>
    <row r="903" spans="1:33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26"/>
      <c r="AB903" s="7"/>
      <c r="AC903" s="7"/>
      <c r="AD903" s="7"/>
      <c r="AE903" s="7"/>
      <c r="AF903" s="7"/>
      <c r="AG903" s="7"/>
    </row>
    <row r="904" spans="1:33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26"/>
      <c r="AB904" s="7"/>
      <c r="AC904" s="7"/>
      <c r="AD904" s="7"/>
      <c r="AE904" s="7"/>
      <c r="AF904" s="7"/>
      <c r="AG904" s="7"/>
    </row>
    <row r="905" spans="1:33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26"/>
      <c r="AB905" s="7"/>
      <c r="AC905" s="7"/>
      <c r="AD905" s="7"/>
      <c r="AE905" s="7"/>
      <c r="AF905" s="7"/>
      <c r="AG905" s="7"/>
    </row>
    <row r="906" spans="1:33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26"/>
      <c r="AB906" s="7"/>
      <c r="AC906" s="7"/>
      <c r="AD906" s="7"/>
      <c r="AE906" s="7"/>
      <c r="AF906" s="7"/>
      <c r="AG906" s="7"/>
    </row>
    <row r="907" spans="1:33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26"/>
      <c r="AB907" s="7"/>
      <c r="AC907" s="7"/>
      <c r="AD907" s="7"/>
      <c r="AE907" s="7"/>
      <c r="AF907" s="7"/>
      <c r="AG907" s="7"/>
    </row>
    <row r="908" spans="1:33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26"/>
      <c r="AB908" s="7"/>
      <c r="AC908" s="7"/>
      <c r="AD908" s="7"/>
      <c r="AE908" s="7"/>
      <c r="AF908" s="7"/>
      <c r="AG908" s="7"/>
    </row>
    <row r="909" spans="1:33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26"/>
      <c r="AB909" s="7"/>
      <c r="AC909" s="7"/>
      <c r="AD909" s="7"/>
      <c r="AE909" s="7"/>
      <c r="AF909" s="7"/>
      <c r="AG909" s="7"/>
    </row>
    <row r="910" spans="1:33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26"/>
      <c r="AB910" s="7"/>
      <c r="AC910" s="7"/>
      <c r="AD910" s="7"/>
      <c r="AE910" s="7"/>
      <c r="AF910" s="7"/>
      <c r="AG910" s="7"/>
    </row>
    <row r="911" spans="1:33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26"/>
      <c r="AB911" s="7"/>
      <c r="AC911" s="7"/>
      <c r="AD911" s="7"/>
      <c r="AE911" s="7"/>
      <c r="AF911" s="7"/>
      <c r="AG911" s="7"/>
    </row>
    <row r="912" spans="1:33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26"/>
      <c r="AB912" s="7"/>
      <c r="AC912" s="7"/>
      <c r="AD912" s="7"/>
      <c r="AE912" s="7"/>
      <c r="AF912" s="7"/>
      <c r="AG912" s="7"/>
    </row>
    <row r="913" spans="1:33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26"/>
      <c r="AB913" s="7"/>
      <c r="AC913" s="7"/>
      <c r="AD913" s="7"/>
      <c r="AE913" s="7"/>
      <c r="AF913" s="7"/>
      <c r="AG913" s="7"/>
    </row>
    <row r="914" spans="1:33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26"/>
      <c r="AB914" s="7"/>
      <c r="AC914" s="7"/>
      <c r="AD914" s="7"/>
      <c r="AE914" s="7"/>
      <c r="AF914" s="7"/>
      <c r="AG914" s="7"/>
    </row>
    <row r="915" spans="1:33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26"/>
      <c r="AB915" s="7"/>
      <c r="AC915" s="7"/>
      <c r="AD915" s="7"/>
      <c r="AE915" s="7"/>
      <c r="AF915" s="7"/>
      <c r="AG915" s="7"/>
    </row>
    <row r="916" spans="1:33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26"/>
      <c r="AB916" s="7"/>
      <c r="AC916" s="7"/>
      <c r="AD916" s="7"/>
      <c r="AE916" s="7"/>
      <c r="AF916" s="7"/>
      <c r="AG916" s="7"/>
    </row>
    <row r="917" spans="1:33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26"/>
      <c r="AB917" s="7"/>
      <c r="AC917" s="7"/>
      <c r="AD917" s="7"/>
      <c r="AE917" s="7"/>
      <c r="AF917" s="7"/>
      <c r="AG917" s="7"/>
    </row>
    <row r="918" spans="1:33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26"/>
      <c r="AB918" s="7"/>
      <c r="AC918" s="7"/>
      <c r="AD918" s="7"/>
      <c r="AE918" s="7"/>
      <c r="AF918" s="7"/>
      <c r="AG918" s="7"/>
    </row>
    <row r="919" spans="1:33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26"/>
      <c r="AB919" s="7"/>
      <c r="AC919" s="7"/>
      <c r="AD919" s="7"/>
      <c r="AE919" s="7"/>
      <c r="AF919" s="7"/>
      <c r="AG919" s="7"/>
    </row>
    <row r="920" spans="1:33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26"/>
      <c r="AB920" s="7"/>
      <c r="AC920" s="7"/>
      <c r="AD920" s="7"/>
      <c r="AE920" s="7"/>
      <c r="AF920" s="7"/>
      <c r="AG920" s="7"/>
    </row>
    <row r="921" spans="1:33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26"/>
      <c r="AB921" s="7"/>
      <c r="AC921" s="7"/>
      <c r="AD921" s="7"/>
      <c r="AE921" s="7"/>
      <c r="AF921" s="7"/>
      <c r="AG921" s="7"/>
    </row>
    <row r="922" spans="1:33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26"/>
      <c r="AB922" s="7"/>
      <c r="AC922" s="7"/>
      <c r="AD922" s="7"/>
      <c r="AE922" s="7"/>
      <c r="AF922" s="7"/>
      <c r="AG922" s="7"/>
    </row>
    <row r="923" spans="1:33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26"/>
      <c r="AB923" s="7"/>
      <c r="AC923" s="7"/>
      <c r="AD923" s="7"/>
      <c r="AE923" s="7"/>
      <c r="AF923" s="7"/>
      <c r="AG923" s="7"/>
    </row>
    <row r="924" spans="1:33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26"/>
      <c r="AB924" s="7"/>
      <c r="AC924" s="7"/>
      <c r="AD924" s="7"/>
      <c r="AE924" s="7"/>
      <c r="AF924" s="7"/>
      <c r="AG924" s="7"/>
    </row>
    <row r="925" spans="1:33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26"/>
      <c r="AB925" s="7"/>
      <c r="AC925" s="7"/>
      <c r="AD925" s="7"/>
      <c r="AE925" s="7"/>
      <c r="AF925" s="7"/>
      <c r="AG925" s="7"/>
    </row>
    <row r="926" spans="1:33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26"/>
      <c r="AB926" s="7"/>
      <c r="AC926" s="7"/>
      <c r="AD926" s="7"/>
      <c r="AE926" s="7"/>
      <c r="AF926" s="7"/>
      <c r="AG926" s="7"/>
    </row>
    <row r="927" spans="1:33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26"/>
      <c r="AB927" s="7"/>
      <c r="AC927" s="7"/>
      <c r="AD927" s="7"/>
      <c r="AE927" s="7"/>
      <c r="AF927" s="7"/>
      <c r="AG927" s="7"/>
    </row>
    <row r="928" spans="1:33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26"/>
      <c r="AB928" s="7"/>
      <c r="AC928" s="7"/>
      <c r="AD928" s="7"/>
      <c r="AE928" s="7"/>
      <c r="AF928" s="7"/>
      <c r="AG928" s="7"/>
    </row>
    <row r="929" spans="1:33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26"/>
      <c r="AB929" s="7"/>
      <c r="AC929" s="7"/>
      <c r="AD929" s="7"/>
      <c r="AE929" s="7"/>
      <c r="AF929" s="7"/>
      <c r="AG929" s="7"/>
    </row>
    <row r="930" spans="1:33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26"/>
      <c r="AB930" s="7"/>
      <c r="AC930" s="7"/>
      <c r="AD930" s="7"/>
      <c r="AE930" s="7"/>
      <c r="AF930" s="7"/>
      <c r="AG930" s="7"/>
    </row>
    <row r="931" spans="1:33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26"/>
      <c r="AB931" s="7"/>
      <c r="AC931" s="7"/>
      <c r="AD931" s="7"/>
      <c r="AE931" s="7"/>
      <c r="AF931" s="7"/>
      <c r="AG931" s="7"/>
    </row>
    <row r="932" spans="1:33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26"/>
      <c r="AB932" s="7"/>
      <c r="AC932" s="7"/>
      <c r="AD932" s="7"/>
      <c r="AE932" s="7"/>
      <c r="AF932" s="7"/>
      <c r="AG932" s="7"/>
    </row>
    <row r="933" spans="1:33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26"/>
      <c r="AB933" s="7"/>
      <c r="AC933" s="7"/>
      <c r="AD933" s="7"/>
      <c r="AE933" s="7"/>
      <c r="AF933" s="7"/>
      <c r="AG933" s="7"/>
    </row>
    <row r="934" spans="1:33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26"/>
      <c r="AB934" s="7"/>
      <c r="AC934" s="7"/>
      <c r="AD934" s="7"/>
      <c r="AE934" s="7"/>
      <c r="AF934" s="7"/>
      <c r="AG934" s="7"/>
    </row>
    <row r="935" spans="1:33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26"/>
      <c r="AB935" s="7"/>
      <c r="AC935" s="7"/>
      <c r="AD935" s="7"/>
      <c r="AE935" s="7"/>
      <c r="AF935" s="7"/>
      <c r="AG935" s="7"/>
    </row>
    <row r="936" spans="1:33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26"/>
      <c r="AB936" s="7"/>
      <c r="AC936" s="7"/>
      <c r="AD936" s="7"/>
      <c r="AE936" s="7"/>
      <c r="AF936" s="7"/>
      <c r="AG936" s="7"/>
    </row>
    <row r="937" spans="1:33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26"/>
      <c r="AB937" s="7"/>
      <c r="AC937" s="7"/>
      <c r="AD937" s="7"/>
      <c r="AE937" s="7"/>
      <c r="AF937" s="7"/>
      <c r="AG937" s="7"/>
    </row>
    <row r="938" spans="1:33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26"/>
      <c r="AB938" s="7"/>
      <c r="AC938" s="7"/>
      <c r="AD938" s="7"/>
      <c r="AE938" s="7"/>
      <c r="AF938" s="7"/>
      <c r="AG938" s="7"/>
    </row>
    <row r="939" spans="1:33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26"/>
      <c r="AB939" s="7"/>
      <c r="AC939" s="7"/>
      <c r="AD939" s="7"/>
      <c r="AE939" s="7"/>
      <c r="AF939" s="7"/>
      <c r="AG939" s="7"/>
    </row>
    <row r="940" spans="1:33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26"/>
      <c r="AB940" s="7"/>
      <c r="AC940" s="7"/>
      <c r="AD940" s="7"/>
      <c r="AE940" s="7"/>
      <c r="AF940" s="7"/>
      <c r="AG940" s="7"/>
    </row>
    <row r="941" spans="1:33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26"/>
      <c r="AB941" s="7"/>
      <c r="AC941" s="7"/>
      <c r="AD941" s="7"/>
      <c r="AE941" s="7"/>
      <c r="AF941" s="7"/>
      <c r="AG941" s="7"/>
    </row>
    <row r="942" spans="1:33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26"/>
      <c r="AB942" s="7"/>
      <c r="AC942" s="7"/>
      <c r="AD942" s="7"/>
      <c r="AE942" s="7"/>
      <c r="AF942" s="7"/>
      <c r="AG942" s="7"/>
    </row>
    <row r="943" spans="1:33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26"/>
      <c r="AB943" s="7"/>
      <c r="AC943" s="7"/>
      <c r="AD943" s="7"/>
      <c r="AE943" s="7"/>
      <c r="AF943" s="7"/>
      <c r="AG943" s="7"/>
    </row>
    <row r="944" spans="1:33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26"/>
      <c r="AB944" s="7"/>
      <c r="AC944" s="7"/>
      <c r="AD944" s="7"/>
      <c r="AE944" s="7"/>
      <c r="AF944" s="7"/>
      <c r="AG944" s="7"/>
    </row>
    <row r="945" spans="1:33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26"/>
      <c r="AB945" s="7"/>
      <c r="AC945" s="7"/>
      <c r="AD945" s="7"/>
      <c r="AE945" s="7"/>
      <c r="AF945" s="7"/>
      <c r="AG945" s="7"/>
    </row>
    <row r="946" spans="1:33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26"/>
      <c r="AB946" s="7"/>
      <c r="AC946" s="7"/>
      <c r="AD946" s="7"/>
      <c r="AE946" s="7"/>
      <c r="AF946" s="7"/>
      <c r="AG946" s="7"/>
    </row>
    <row r="947" spans="1:33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26"/>
      <c r="AB947" s="7"/>
      <c r="AC947" s="7"/>
      <c r="AD947" s="7"/>
      <c r="AE947" s="7"/>
      <c r="AF947" s="7"/>
      <c r="AG947" s="7"/>
    </row>
    <row r="948" spans="1:33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26"/>
      <c r="AB948" s="7"/>
      <c r="AC948" s="7"/>
      <c r="AD948" s="7"/>
      <c r="AE948" s="7"/>
      <c r="AF948" s="7"/>
      <c r="AG948" s="7"/>
    </row>
    <row r="949" spans="1:33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26"/>
      <c r="AB949" s="7"/>
      <c r="AC949" s="7"/>
      <c r="AD949" s="7"/>
      <c r="AE949" s="7"/>
      <c r="AF949" s="7"/>
      <c r="AG949" s="7"/>
    </row>
    <row r="950" spans="1:33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26"/>
      <c r="AB950" s="7"/>
      <c r="AC950" s="7"/>
      <c r="AD950" s="7"/>
      <c r="AE950" s="7"/>
      <c r="AF950" s="7"/>
      <c r="AG950" s="7"/>
    </row>
    <row r="951" spans="1:33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26"/>
      <c r="AB951" s="7"/>
      <c r="AC951" s="7"/>
      <c r="AD951" s="7"/>
      <c r="AE951" s="7"/>
      <c r="AF951" s="7"/>
      <c r="AG951" s="7"/>
    </row>
    <row r="952" spans="1:33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26"/>
      <c r="AB952" s="7"/>
      <c r="AC952" s="7"/>
      <c r="AD952" s="7"/>
      <c r="AE952" s="7"/>
      <c r="AF952" s="7"/>
      <c r="AG952" s="7"/>
    </row>
    <row r="953" spans="1:33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26"/>
      <c r="AB953" s="7"/>
      <c r="AC953" s="7"/>
      <c r="AD953" s="7"/>
      <c r="AE953" s="7"/>
      <c r="AF953" s="7"/>
      <c r="AG953" s="7"/>
    </row>
    <row r="954" spans="1:33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26"/>
      <c r="AB954" s="7"/>
      <c r="AC954" s="7"/>
      <c r="AD954" s="7"/>
      <c r="AE954" s="7"/>
      <c r="AF954" s="7"/>
      <c r="AG954" s="7"/>
    </row>
    <row r="955" spans="1:33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26"/>
      <c r="AB955" s="7"/>
      <c r="AC955" s="7"/>
      <c r="AD955" s="7"/>
      <c r="AE955" s="7"/>
      <c r="AF955" s="7"/>
      <c r="AG955" s="7"/>
    </row>
    <row r="956" spans="1:33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26"/>
      <c r="AB956" s="7"/>
      <c r="AC956" s="7"/>
      <c r="AD956" s="7"/>
      <c r="AE956" s="7"/>
      <c r="AF956" s="7"/>
      <c r="AG956" s="7"/>
    </row>
    <row r="957" spans="1:33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26"/>
      <c r="AB957" s="7"/>
      <c r="AC957" s="7"/>
      <c r="AD957" s="7"/>
      <c r="AE957" s="7"/>
      <c r="AF957" s="7"/>
      <c r="AG957" s="7"/>
    </row>
    <row r="958" spans="1:33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26"/>
      <c r="AB958" s="7"/>
      <c r="AC958" s="7"/>
      <c r="AD958" s="7"/>
      <c r="AE958" s="7"/>
      <c r="AF958" s="7"/>
      <c r="AG958" s="7"/>
    </row>
    <row r="959" spans="1:33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26"/>
      <c r="AB959" s="7"/>
      <c r="AC959" s="7"/>
      <c r="AD959" s="7"/>
      <c r="AE959" s="7"/>
      <c r="AF959" s="7"/>
      <c r="AG959" s="7"/>
    </row>
    <row r="960" spans="1:33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26"/>
      <c r="AB960" s="7"/>
      <c r="AC960" s="7"/>
      <c r="AD960" s="7"/>
      <c r="AE960" s="7"/>
      <c r="AF960" s="7"/>
      <c r="AG960" s="7"/>
    </row>
    <row r="961" spans="1:33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26"/>
      <c r="AB961" s="7"/>
      <c r="AC961" s="7"/>
      <c r="AD961" s="7"/>
      <c r="AE961" s="7"/>
      <c r="AF961" s="7"/>
      <c r="AG961" s="7"/>
    </row>
    <row r="962" spans="1:33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26"/>
      <c r="AB962" s="7"/>
      <c r="AC962" s="7"/>
      <c r="AD962" s="7"/>
      <c r="AE962" s="7"/>
      <c r="AF962" s="7"/>
      <c r="AG962" s="7"/>
    </row>
    <row r="963" spans="1:33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26"/>
      <c r="AB963" s="7"/>
      <c r="AC963" s="7"/>
      <c r="AD963" s="7"/>
      <c r="AE963" s="7"/>
      <c r="AF963" s="7"/>
      <c r="AG963" s="7"/>
    </row>
    <row r="964" spans="1:33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26"/>
      <c r="AB964" s="7"/>
      <c r="AC964" s="7"/>
      <c r="AD964" s="7"/>
      <c r="AE964" s="7"/>
      <c r="AF964" s="7"/>
      <c r="AG964" s="7"/>
    </row>
    <row r="965" spans="1:33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26"/>
      <c r="AB965" s="7"/>
      <c r="AC965" s="7"/>
      <c r="AD965" s="7"/>
      <c r="AE965" s="7"/>
      <c r="AF965" s="7"/>
      <c r="AG965" s="7"/>
    </row>
    <row r="966" spans="1:33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26"/>
      <c r="AB966" s="7"/>
      <c r="AC966" s="7"/>
      <c r="AD966" s="7"/>
      <c r="AE966" s="7"/>
      <c r="AF966" s="7"/>
      <c r="AG966" s="7"/>
    </row>
    <row r="967" spans="1:33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26"/>
      <c r="AB967" s="7"/>
      <c r="AC967" s="7"/>
      <c r="AD967" s="7"/>
      <c r="AE967" s="7"/>
      <c r="AF967" s="7"/>
      <c r="AG967" s="7"/>
    </row>
    <row r="968" spans="1:33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26"/>
      <c r="AB968" s="7"/>
      <c r="AC968" s="7"/>
      <c r="AD968" s="7"/>
      <c r="AE968" s="7"/>
      <c r="AF968" s="7"/>
      <c r="AG968" s="7"/>
    </row>
    <row r="969" spans="1:33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26"/>
      <c r="AB969" s="7"/>
      <c r="AC969" s="7"/>
      <c r="AD969" s="7"/>
      <c r="AE969" s="7"/>
      <c r="AF969" s="7"/>
      <c r="AG969" s="7"/>
    </row>
    <row r="970" spans="1:33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26"/>
      <c r="AB970" s="7"/>
      <c r="AC970" s="7"/>
      <c r="AD970" s="7"/>
      <c r="AE970" s="7"/>
      <c r="AF970" s="7"/>
      <c r="AG970" s="7"/>
    </row>
    <row r="971" spans="1:33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26"/>
      <c r="AB971" s="7"/>
      <c r="AC971" s="7"/>
      <c r="AD971" s="7"/>
      <c r="AE971" s="7"/>
      <c r="AF971" s="7"/>
      <c r="AG971" s="7"/>
    </row>
    <row r="972" spans="1:33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26"/>
      <c r="AB972" s="7"/>
      <c r="AC972" s="7"/>
      <c r="AD972" s="7"/>
      <c r="AE972" s="7"/>
      <c r="AF972" s="7"/>
      <c r="AG972" s="7"/>
    </row>
    <row r="973" spans="1:33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26"/>
      <c r="AB973" s="7"/>
      <c r="AC973" s="7"/>
      <c r="AD973" s="7"/>
      <c r="AE973" s="7"/>
      <c r="AF973" s="7"/>
      <c r="AG973" s="7"/>
    </row>
    <row r="974" spans="1:33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26"/>
      <c r="AB974" s="7"/>
      <c r="AC974" s="7"/>
      <c r="AD974" s="7"/>
      <c r="AE974" s="7"/>
      <c r="AF974" s="7"/>
      <c r="AG974" s="7"/>
    </row>
    <row r="975" spans="1:33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26"/>
      <c r="AB975" s="7"/>
      <c r="AC975" s="7"/>
      <c r="AD975" s="7"/>
      <c r="AE975" s="7"/>
      <c r="AF975" s="7"/>
      <c r="AG975" s="7"/>
    </row>
    <row r="976" spans="1:33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26"/>
      <c r="AB976" s="7"/>
      <c r="AC976" s="7"/>
      <c r="AD976" s="7"/>
      <c r="AE976" s="7"/>
      <c r="AF976" s="7"/>
      <c r="AG976" s="7"/>
    </row>
    <row r="977" spans="1:33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26"/>
      <c r="AB977" s="7"/>
      <c r="AC977" s="7"/>
      <c r="AD977" s="7"/>
      <c r="AE977" s="7"/>
      <c r="AF977" s="7"/>
      <c r="AG977" s="7"/>
    </row>
    <row r="978" spans="1:33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26"/>
      <c r="AB978" s="7"/>
      <c r="AC978" s="7"/>
      <c r="AD978" s="7"/>
      <c r="AE978" s="7"/>
      <c r="AF978" s="7"/>
      <c r="AG978" s="7"/>
    </row>
    <row r="979" spans="1:33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26"/>
      <c r="AB979" s="7"/>
      <c r="AC979" s="7"/>
      <c r="AD979" s="7"/>
      <c r="AE979" s="7"/>
      <c r="AF979" s="7"/>
      <c r="AG979" s="7"/>
    </row>
    <row r="980" spans="1:33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26"/>
      <c r="AB980" s="7"/>
      <c r="AC980" s="7"/>
      <c r="AD980" s="7"/>
      <c r="AE980" s="7"/>
      <c r="AF980" s="7"/>
      <c r="AG980" s="7"/>
    </row>
    <row r="981" spans="1:33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26"/>
      <c r="AB981" s="7"/>
      <c r="AC981" s="7"/>
      <c r="AD981" s="7"/>
      <c r="AE981" s="7"/>
      <c r="AF981" s="7"/>
      <c r="AG981" s="7"/>
    </row>
    <row r="982" spans="1:33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26"/>
      <c r="AB982" s="7"/>
      <c r="AC982" s="7"/>
      <c r="AD982" s="7"/>
      <c r="AE982" s="7"/>
      <c r="AF982" s="7"/>
      <c r="AG982" s="7"/>
    </row>
    <row r="983" spans="1:33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26"/>
      <c r="AB983" s="7"/>
      <c r="AC983" s="7"/>
      <c r="AD983" s="7"/>
      <c r="AE983" s="7"/>
      <c r="AF983" s="7"/>
      <c r="AG983" s="7"/>
    </row>
    <row r="984" spans="1:33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26"/>
      <c r="AB984" s="7"/>
      <c r="AC984" s="7"/>
      <c r="AD984" s="7"/>
      <c r="AE984" s="7"/>
      <c r="AF984" s="7"/>
      <c r="AG984" s="7"/>
    </row>
    <row r="985" spans="1:33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26"/>
      <c r="AB985" s="7"/>
      <c r="AC985" s="7"/>
      <c r="AD985" s="7"/>
      <c r="AE985" s="7"/>
      <c r="AF985" s="7"/>
      <c r="AG985" s="7"/>
    </row>
    <row r="986" spans="1:33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26"/>
      <c r="AB986" s="7"/>
      <c r="AC986" s="7"/>
      <c r="AD986" s="7"/>
      <c r="AE986" s="7"/>
      <c r="AF986" s="7"/>
      <c r="AG986" s="7"/>
    </row>
    <row r="987" spans="1:33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26"/>
      <c r="AB987" s="7"/>
      <c r="AC987" s="7"/>
      <c r="AD987" s="7"/>
      <c r="AE987" s="7"/>
      <c r="AF987" s="7"/>
      <c r="AG987" s="7"/>
    </row>
    <row r="988" spans="1:33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26"/>
      <c r="AB988" s="7"/>
      <c r="AC988" s="7"/>
      <c r="AD988" s="7"/>
      <c r="AE988" s="7"/>
      <c r="AF988" s="7"/>
      <c r="AG988" s="7"/>
    </row>
    <row r="989" spans="1:33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26"/>
      <c r="AB989" s="7"/>
      <c r="AC989" s="7"/>
      <c r="AD989" s="7"/>
      <c r="AE989" s="7"/>
      <c r="AF989" s="7"/>
      <c r="AG989" s="7"/>
    </row>
    <row r="990" spans="1:33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26"/>
      <c r="AB990" s="7"/>
      <c r="AC990" s="7"/>
      <c r="AD990" s="7"/>
      <c r="AE990" s="7"/>
      <c r="AF990" s="7"/>
      <c r="AG990" s="7"/>
    </row>
    <row r="991" spans="1:33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26"/>
      <c r="AB991" s="7"/>
      <c r="AC991" s="7"/>
      <c r="AD991" s="7"/>
      <c r="AE991" s="7"/>
      <c r="AF991" s="7"/>
      <c r="AG991" s="7"/>
    </row>
    <row r="992" spans="1:33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26"/>
      <c r="AB992" s="7"/>
      <c r="AC992" s="7"/>
      <c r="AD992" s="7"/>
      <c r="AE992" s="7"/>
      <c r="AF992" s="7"/>
      <c r="AG992" s="7"/>
    </row>
    <row r="993" spans="1:33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26"/>
      <c r="AB993" s="7"/>
      <c r="AC993" s="7"/>
      <c r="AD993" s="7"/>
      <c r="AE993" s="7"/>
      <c r="AF993" s="7"/>
      <c r="AG993" s="7"/>
    </row>
    <row r="994" spans="1:33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26"/>
      <c r="AB994" s="7"/>
      <c r="AC994" s="7"/>
      <c r="AD994" s="7"/>
      <c r="AE994" s="7"/>
      <c r="AF994" s="7"/>
      <c r="AG994" s="7"/>
    </row>
    <row r="995" spans="1:33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26"/>
      <c r="AB995" s="7"/>
      <c r="AC995" s="7"/>
      <c r="AD995" s="7"/>
      <c r="AE995" s="7"/>
      <c r="AF995" s="7"/>
      <c r="AG995" s="7"/>
    </row>
    <row r="996" spans="1:33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26"/>
      <c r="AB996" s="7"/>
      <c r="AC996" s="7"/>
      <c r="AD996" s="7"/>
      <c r="AE996" s="7"/>
      <c r="AF996" s="7"/>
      <c r="AG996" s="7"/>
    </row>
    <row r="997" spans="1:33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26"/>
      <c r="AB997" s="7"/>
      <c r="AC997" s="7"/>
      <c r="AD997" s="7"/>
      <c r="AE997" s="7"/>
      <c r="AF997" s="7"/>
      <c r="AG997" s="7"/>
    </row>
    <row r="998" spans="1:33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26"/>
      <c r="AB998" s="7"/>
      <c r="AC998" s="7"/>
      <c r="AD998" s="7"/>
      <c r="AE998" s="7"/>
      <c r="AF998" s="7"/>
      <c r="AG998" s="7"/>
    </row>
    <row r="999" spans="1:33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26"/>
      <c r="AB999" s="7"/>
      <c r="AC999" s="7"/>
      <c r="AD999" s="7"/>
      <c r="AE999" s="7"/>
      <c r="AF999" s="7"/>
      <c r="AG999" s="7"/>
    </row>
  </sheetData>
  <autoFilter ref="AC2:AC33" xr:uid="{00000000-0009-0000-0000-000001000000}">
    <sortState xmlns:xlrd2="http://schemas.microsoft.com/office/spreadsheetml/2017/richdata2" ref="AC2:AC33">
      <sortCondition ref="AC2:AC33"/>
    </sortState>
  </autoFilter>
  <mergeCells count="2">
    <mergeCell ref="B1:E1"/>
    <mergeCell ref="AE1:A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outlinePr summaryBelow="0" summaryRight="0"/>
  </sheetPr>
  <dimension ref="A1:AB210"/>
  <sheetViews>
    <sheetView showGridLines="0" workbookViewId="0">
      <selection activeCell="B7" sqref="B7:C33"/>
    </sheetView>
  </sheetViews>
  <sheetFormatPr defaultColWidth="12.6640625" defaultRowHeight="15.75" customHeight="1" x14ac:dyDescent="0.25"/>
  <cols>
    <col min="1" max="1" width="2.109375" customWidth="1"/>
    <col min="2" max="2" width="10.77734375" customWidth="1"/>
    <col min="3" max="3" width="26" customWidth="1"/>
    <col min="4" max="4" width="16.6640625" customWidth="1"/>
    <col min="5" max="5" width="14.109375" customWidth="1"/>
    <col min="6" max="6" width="11.77734375" customWidth="1"/>
    <col min="7" max="7" width="17.21875" customWidth="1"/>
    <col min="8" max="8" width="10.44140625" customWidth="1"/>
    <col min="9" max="9" width="9.6640625" customWidth="1"/>
    <col min="10" max="10" width="9" customWidth="1"/>
    <col min="11" max="11" width="9.21875" customWidth="1"/>
    <col min="12" max="12" width="9.33203125" customWidth="1"/>
    <col min="13" max="13" width="9.88671875" customWidth="1"/>
    <col min="14" max="14" width="13.109375" customWidth="1"/>
    <col min="15" max="18" width="10.109375" customWidth="1"/>
  </cols>
  <sheetData>
    <row r="1" spans="1:28" ht="13.2" x14ac:dyDescent="0.25">
      <c r="A1" s="5"/>
      <c r="B1" s="5"/>
      <c r="C1" s="5"/>
      <c r="D1" s="27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30.75" customHeight="1" x14ac:dyDescent="0.25">
      <c r="A2" s="5"/>
      <c r="B2" s="5"/>
      <c r="C2" s="5"/>
      <c r="D2" s="2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3.2" x14ac:dyDescent="0.25">
      <c r="A3" s="5"/>
      <c r="B3" s="5"/>
      <c r="C3" s="5"/>
      <c r="D3" s="27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3.2" x14ac:dyDescent="0.25">
      <c r="A4" s="5"/>
      <c r="B4" s="5"/>
      <c r="C4" s="215" t="s">
        <v>19</v>
      </c>
      <c r="D4" s="216"/>
      <c r="E4" s="216"/>
      <c r="F4" s="216"/>
      <c r="G4" s="28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22.5" customHeight="1" x14ac:dyDescent="0.25">
      <c r="A5" s="5"/>
      <c r="B5" s="217" t="s">
        <v>20</v>
      </c>
      <c r="C5" s="218"/>
      <c r="D5" s="218"/>
      <c r="E5" s="218"/>
      <c r="F5" s="219"/>
      <c r="G5" s="220" t="s">
        <v>21</v>
      </c>
      <c r="H5" s="218"/>
      <c r="I5" s="218"/>
      <c r="J5" s="218"/>
      <c r="K5" s="218"/>
      <c r="L5" s="218"/>
      <c r="M5" s="219"/>
      <c r="N5" s="221" t="s">
        <v>22</v>
      </c>
      <c r="O5" s="218"/>
      <c r="P5" s="218"/>
      <c r="Q5" s="218"/>
      <c r="R5" s="219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33.75" customHeight="1" x14ac:dyDescent="0.25">
      <c r="A6" s="26"/>
      <c r="B6" s="29" t="s">
        <v>23</v>
      </c>
      <c r="C6" s="30" t="s">
        <v>24</v>
      </c>
      <c r="D6" s="30" t="s">
        <v>25</v>
      </c>
      <c r="E6" s="31" t="s">
        <v>26</v>
      </c>
      <c r="F6" s="31" t="s">
        <v>27</v>
      </c>
      <c r="G6" s="32" t="s">
        <v>28</v>
      </c>
      <c r="H6" s="32" t="s">
        <v>29</v>
      </c>
      <c r="I6" s="32" t="s">
        <v>30</v>
      </c>
      <c r="J6" s="32" t="s">
        <v>31</v>
      </c>
      <c r="K6" s="32" t="s">
        <v>32</v>
      </c>
      <c r="L6" s="32" t="s">
        <v>33</v>
      </c>
      <c r="M6" s="32" t="s">
        <v>34</v>
      </c>
      <c r="N6" s="33" t="s">
        <v>35</v>
      </c>
      <c r="O6" s="33" t="s">
        <v>36</v>
      </c>
      <c r="P6" s="33" t="s">
        <v>37</v>
      </c>
      <c r="Q6" s="33" t="s">
        <v>38</v>
      </c>
      <c r="R6" s="34" t="s">
        <v>39</v>
      </c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20.25" customHeight="1" x14ac:dyDescent="0.25">
      <c r="A7" s="5"/>
      <c r="B7" s="35"/>
      <c r="C7" s="36"/>
      <c r="D7" s="37" t="str">
        <f ca="1">IFERROR(__xludf.DUMMYFUNCTION("""COMPUTED_VALUE"""),"College Staff")</f>
        <v>College Staff</v>
      </c>
      <c r="E7" s="36" t="str">
        <f ca="1">IFERROR(__xludf.DUMMYFUNCTION("""COMPUTED_VALUE"""),"Station 1")</f>
        <v>Station 1</v>
      </c>
      <c r="F7" s="36" t="str">
        <f ca="1">IFERROR(__xludf.DUMMYFUNCTION("""COMPUTED_VALUE"""),"Panel 1")</f>
        <v>Panel 1</v>
      </c>
      <c r="G7" s="38">
        <f ca="1">IFERROR(__xludf.DUMMYFUNCTION("""COMPUTED_VALUE"""),0.646634615384615)</f>
        <v>0.64663461538461497</v>
      </c>
      <c r="H7" s="38">
        <f ca="1">IFERROR(__xludf.DUMMYFUNCTION("""COMPUTED_VALUE"""),0.8125)</f>
        <v>0.8125</v>
      </c>
      <c r="I7" s="38">
        <f ca="1">IFERROR(__xludf.DUMMYFUNCTION("""COMPUTED_VALUE"""),0.46875)</f>
        <v>0.46875</v>
      </c>
      <c r="J7" s="39">
        <f ca="1">IFERROR(__xludf.DUMMYFUNCTION("""COMPUTED_VALUE"""),10)</f>
        <v>10</v>
      </c>
      <c r="K7" s="39">
        <f ca="1">IFERROR(__xludf.DUMMYFUNCTION("""COMPUTED_VALUE"""),10)</f>
        <v>10</v>
      </c>
      <c r="L7" s="39">
        <f ca="1">IFERROR(__xludf.DUMMYFUNCTION("""COMPUTED_VALUE"""),6)</f>
        <v>6</v>
      </c>
      <c r="M7" s="39">
        <f ca="1">IFERROR(__xludf.DUMMYFUNCTION("""COMPUTED_VALUE"""),0)</f>
        <v>0</v>
      </c>
      <c r="N7" s="39">
        <f ca="1">IFERROR(__xludf.DUMMYFUNCTION("""COMPUTED_VALUE"""),26)</f>
        <v>26</v>
      </c>
      <c r="O7" s="39">
        <f ca="1">IFERROR(__xludf.DUMMYFUNCTION("""COMPUTED_VALUE"""),12)</f>
        <v>12</v>
      </c>
      <c r="P7" s="39">
        <f ca="1">IFERROR(__xludf.DUMMYFUNCTION("""COMPUTED_VALUE"""),13)</f>
        <v>13</v>
      </c>
      <c r="Q7" s="39">
        <f ca="1">IFERROR(__xludf.DUMMYFUNCTION("""COMPUTED_VALUE"""),0)</f>
        <v>0</v>
      </c>
      <c r="R7" s="39">
        <f ca="1">IFERROR(__xludf.DUMMYFUNCTION("""COMPUTED_VALUE"""),1)</f>
        <v>1</v>
      </c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20.25" customHeight="1" x14ac:dyDescent="0.25">
      <c r="A8" s="5"/>
      <c r="B8" s="35"/>
      <c r="C8" s="36"/>
      <c r="D8" s="37" t="str">
        <f ca="1">IFERROR(__xludf.DUMMYFUNCTION("""COMPUTED_VALUE"""),"Non Academic Staff")</f>
        <v>Non Academic Staff</v>
      </c>
      <c r="E8" s="36" t="str">
        <f ca="1">IFERROR(__xludf.DUMMYFUNCTION("""COMPUTED_VALUE"""),"Station 2")</f>
        <v>Station 2</v>
      </c>
      <c r="F8" s="36" t="str">
        <f ca="1">IFERROR(__xludf.DUMMYFUNCTION("""COMPUTED_VALUE"""),"Panel 1")</f>
        <v>Panel 1</v>
      </c>
      <c r="G8" s="38">
        <f ca="1">IFERROR(__xludf.DUMMYFUNCTION("""COMPUTED_VALUE"""),0.855274629468177)</f>
        <v>0.85527462946817701</v>
      </c>
      <c r="H8" s="38">
        <f ca="1">IFERROR(__xludf.DUMMYFUNCTION("""COMPUTED_VALUE"""),1)</f>
        <v>1</v>
      </c>
      <c r="I8" s="38">
        <f ca="1">IFERROR(__xludf.DUMMYFUNCTION("""COMPUTED_VALUE"""),0.64516129032258)</f>
        <v>0.64516129032257996</v>
      </c>
      <c r="J8" s="39">
        <f ca="1">IFERROR(__xludf.DUMMYFUNCTION("""COMPUTED_VALUE"""),0)</f>
        <v>0</v>
      </c>
      <c r="K8" s="39">
        <f ca="1">IFERROR(__xludf.DUMMYFUNCTION("""COMPUTED_VALUE"""),10)</f>
        <v>10</v>
      </c>
      <c r="L8" s="39">
        <f ca="1">IFERROR(__xludf.DUMMYFUNCTION("""COMPUTED_VALUE"""),9)</f>
        <v>9</v>
      </c>
      <c r="M8" s="39">
        <f ca="1">IFERROR(__xludf.DUMMYFUNCTION("""COMPUTED_VALUE"""),18)</f>
        <v>18</v>
      </c>
      <c r="N8" s="39">
        <f ca="1">IFERROR(__xludf.DUMMYFUNCTION("""COMPUTED_VALUE"""),37)</f>
        <v>37</v>
      </c>
      <c r="O8" s="39">
        <f ca="1">IFERROR(__xludf.DUMMYFUNCTION("""COMPUTED_VALUE"""),15)</f>
        <v>15</v>
      </c>
      <c r="P8" s="39">
        <f ca="1">IFERROR(__xludf.DUMMYFUNCTION("""COMPUTED_VALUE"""),11)</f>
        <v>11</v>
      </c>
      <c r="Q8" s="39">
        <f ca="1">IFERROR(__xludf.DUMMYFUNCTION("""COMPUTED_VALUE"""),11)</f>
        <v>11</v>
      </c>
      <c r="R8" s="39">
        <f ca="1">IFERROR(__xludf.DUMMYFUNCTION("""COMPUTED_VALUE"""),0)</f>
        <v>0</v>
      </c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20.25" customHeight="1" x14ac:dyDescent="0.25">
      <c r="A9" s="5"/>
      <c r="B9" s="35"/>
      <c r="C9" s="36"/>
      <c r="D9" s="37" t="str">
        <f ca="1">IFERROR(__xludf.DUMMYFUNCTION("""COMPUTED_VALUE"""),"College Staff")</f>
        <v>College Staff</v>
      </c>
      <c r="E9" s="36" t="str">
        <f ca="1">IFERROR(__xludf.DUMMYFUNCTION("""COMPUTED_VALUE"""),"Station 3")</f>
        <v>Station 3</v>
      </c>
      <c r="F9" s="36" t="str">
        <f ca="1">IFERROR(__xludf.DUMMYFUNCTION("""COMPUTED_VALUE"""),"Panel 1")</f>
        <v>Panel 1</v>
      </c>
      <c r="G9" s="38">
        <f ca="1">IFERROR(__xludf.DUMMYFUNCTION("""COMPUTED_VALUE"""),0.72)</f>
        <v>0.72</v>
      </c>
      <c r="H9" s="38">
        <f ca="1">IFERROR(__xludf.DUMMYFUNCTION("""COMPUTED_VALUE"""),0.958333333333333)</f>
        <v>0.95833333333333304</v>
      </c>
      <c r="I9" s="38">
        <f ca="1">IFERROR(__xludf.DUMMYFUNCTION("""COMPUTED_VALUE"""),0.25)</f>
        <v>0.25</v>
      </c>
      <c r="J9" s="39">
        <f ca="1">IFERROR(__xludf.DUMMYFUNCTION("""COMPUTED_VALUE"""),7)</f>
        <v>7</v>
      </c>
      <c r="K9" s="39">
        <f ca="1">IFERROR(__xludf.DUMMYFUNCTION("""COMPUTED_VALUE"""),2)</f>
        <v>2</v>
      </c>
      <c r="L9" s="39">
        <f ca="1">IFERROR(__xludf.DUMMYFUNCTION("""COMPUTED_VALUE"""),9)</f>
        <v>9</v>
      </c>
      <c r="M9" s="39">
        <f ca="1">IFERROR(__xludf.DUMMYFUNCTION("""COMPUTED_VALUE"""),7)</f>
        <v>7</v>
      </c>
      <c r="N9" s="39">
        <f ca="1">IFERROR(__xludf.DUMMYFUNCTION("""COMPUTED_VALUE"""),25)</f>
        <v>25</v>
      </c>
      <c r="O9" s="39">
        <f ca="1">IFERROR(__xludf.DUMMYFUNCTION("""COMPUTED_VALUE"""),14)</f>
        <v>14</v>
      </c>
      <c r="P9" s="39">
        <f ca="1">IFERROR(__xludf.DUMMYFUNCTION("""COMPUTED_VALUE"""),11)</f>
        <v>11</v>
      </c>
      <c r="Q9" s="39">
        <f ca="1">IFERROR(__xludf.DUMMYFUNCTION("""COMPUTED_VALUE"""),0)</f>
        <v>0</v>
      </c>
      <c r="R9" s="39">
        <f ca="1">IFERROR(__xludf.DUMMYFUNCTION("""COMPUTED_VALUE"""),0)</f>
        <v>0</v>
      </c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20.25" customHeight="1" x14ac:dyDescent="0.25">
      <c r="A10" s="5"/>
      <c r="B10" s="35"/>
      <c r="C10" s="36"/>
      <c r="D10" s="37" t="str">
        <f ca="1">IFERROR(__xludf.DUMMYFUNCTION("""COMPUTED_VALUE"""),"College Staff")</f>
        <v>College Staff</v>
      </c>
      <c r="E10" s="36" t="str">
        <f ca="1">IFERROR(__xludf.DUMMYFUNCTION("""COMPUTED_VALUE"""),"Station 4")</f>
        <v>Station 4</v>
      </c>
      <c r="F10" s="36" t="str">
        <f ca="1">IFERROR(__xludf.DUMMYFUNCTION("""COMPUTED_VALUE"""),"Panel 1")</f>
        <v>Panel 1</v>
      </c>
      <c r="G10" s="38">
        <f ca="1">IFERROR(__xludf.DUMMYFUNCTION("""COMPUTED_VALUE"""),0.892307692307692)</f>
        <v>0.89230769230769202</v>
      </c>
      <c r="H10" s="38">
        <f ca="1">IFERROR(__xludf.DUMMYFUNCTION("""COMPUTED_VALUE"""),1)</f>
        <v>1</v>
      </c>
      <c r="I10" s="38">
        <f ca="1">IFERROR(__xludf.DUMMYFUNCTION("""COMPUTED_VALUE"""),0.7)</f>
        <v>0.7</v>
      </c>
      <c r="J10" s="39">
        <f ca="1">IFERROR(__xludf.DUMMYFUNCTION("""COMPUTED_VALUE"""),0)</f>
        <v>0</v>
      </c>
      <c r="K10" s="39">
        <f ca="1">IFERROR(__xludf.DUMMYFUNCTION("""COMPUTED_VALUE"""),1)</f>
        <v>1</v>
      </c>
      <c r="L10" s="39">
        <f ca="1">IFERROR(__xludf.DUMMYFUNCTION("""COMPUTED_VALUE"""),11)</f>
        <v>11</v>
      </c>
      <c r="M10" s="39">
        <f ca="1">IFERROR(__xludf.DUMMYFUNCTION("""COMPUTED_VALUE"""),14)</f>
        <v>14</v>
      </c>
      <c r="N10" s="39">
        <f ca="1">IFERROR(__xludf.DUMMYFUNCTION("""COMPUTED_VALUE"""),26)</f>
        <v>26</v>
      </c>
      <c r="O10" s="39">
        <f ca="1">IFERROR(__xludf.DUMMYFUNCTION("""COMPUTED_VALUE"""),17)</f>
        <v>17</v>
      </c>
      <c r="P10" s="39">
        <f ca="1">IFERROR(__xludf.DUMMYFUNCTION("""COMPUTED_VALUE"""),9)</f>
        <v>9</v>
      </c>
      <c r="Q10" s="39">
        <f ca="1">IFERROR(__xludf.DUMMYFUNCTION("""COMPUTED_VALUE"""),0)</f>
        <v>0</v>
      </c>
      <c r="R10" s="39">
        <f ca="1">IFERROR(__xludf.DUMMYFUNCTION("""COMPUTED_VALUE"""),0)</f>
        <v>0</v>
      </c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20.25" customHeight="1" x14ac:dyDescent="0.25">
      <c r="A11" s="5"/>
      <c r="B11" s="35"/>
      <c r="C11" s="36"/>
      <c r="D11" s="37" t="str">
        <f ca="1">IFERROR(__xludf.DUMMYFUNCTION("""COMPUTED_VALUE"""),"College Staff")</f>
        <v>College Staff</v>
      </c>
      <c r="E11" s="36" t="str">
        <f ca="1">IFERROR(__xludf.DUMMYFUNCTION("""COMPUTED_VALUE"""),"Station 5")</f>
        <v>Station 5</v>
      </c>
      <c r="F11" s="36" t="str">
        <f ca="1">IFERROR(__xludf.DUMMYFUNCTION("""COMPUTED_VALUE"""),"Panel 1")</f>
        <v>Panel 1</v>
      </c>
      <c r="G11" s="38">
        <f ca="1">IFERROR(__xludf.DUMMYFUNCTION("""COMPUTED_VALUE"""),0.75576923076923)</f>
        <v>0.75576923076922997</v>
      </c>
      <c r="H11" s="38">
        <f ca="1">IFERROR(__xludf.DUMMYFUNCTION("""COMPUTED_VALUE"""),0.95)</f>
        <v>0.95</v>
      </c>
      <c r="I11" s="38">
        <f ca="1">IFERROR(__xludf.DUMMYFUNCTION("""COMPUTED_VALUE"""),0.5)</f>
        <v>0.5</v>
      </c>
      <c r="J11" s="39">
        <f ca="1">IFERROR(__xludf.DUMMYFUNCTION("""COMPUTED_VALUE"""),2)</f>
        <v>2</v>
      </c>
      <c r="K11" s="39">
        <f ca="1">IFERROR(__xludf.DUMMYFUNCTION("""COMPUTED_VALUE"""),9)</f>
        <v>9</v>
      </c>
      <c r="L11" s="39">
        <f ca="1">IFERROR(__xludf.DUMMYFUNCTION("""COMPUTED_VALUE"""),10)</f>
        <v>10</v>
      </c>
      <c r="M11" s="39">
        <f ca="1">IFERROR(__xludf.DUMMYFUNCTION("""COMPUTED_VALUE"""),5)</f>
        <v>5</v>
      </c>
      <c r="N11" s="39">
        <f ca="1">IFERROR(__xludf.DUMMYFUNCTION("""COMPUTED_VALUE"""),26)</f>
        <v>26</v>
      </c>
      <c r="O11" s="39">
        <f ca="1">IFERROR(__xludf.DUMMYFUNCTION("""COMPUTED_VALUE"""),22)</f>
        <v>22</v>
      </c>
      <c r="P11" s="39">
        <f ca="1">IFERROR(__xludf.DUMMYFUNCTION("""COMPUTED_VALUE"""),4)</f>
        <v>4</v>
      </c>
      <c r="Q11" s="39">
        <f ca="1">IFERROR(__xludf.DUMMYFUNCTION("""COMPUTED_VALUE"""),0)</f>
        <v>0</v>
      </c>
      <c r="R11" s="39">
        <f ca="1">IFERROR(__xludf.DUMMYFUNCTION("""COMPUTED_VALUE"""),0)</f>
        <v>0</v>
      </c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20.25" customHeight="1" x14ac:dyDescent="0.25">
      <c r="A12" s="5"/>
      <c r="B12" s="35"/>
      <c r="C12" s="36"/>
      <c r="D12" s="37" t="str">
        <f ca="1">IFERROR(__xludf.DUMMYFUNCTION("""COMPUTED_VALUE"""),"Academic Staff")</f>
        <v>Academic Staff</v>
      </c>
      <c r="E12" s="36" t="str">
        <f ca="1">IFERROR(__xludf.DUMMYFUNCTION("""COMPUTED_VALUE"""),"Station 6")</f>
        <v>Station 6</v>
      </c>
      <c r="F12" s="36" t="str">
        <f ca="1">IFERROR(__xludf.DUMMYFUNCTION("""COMPUTED_VALUE"""),"Panel 1")</f>
        <v>Panel 1</v>
      </c>
      <c r="G12" s="38">
        <f ca="1">IFERROR(__xludf.DUMMYFUNCTION("""COMPUTED_VALUE"""),0.600225225225225)</f>
        <v>0.60022522522522503</v>
      </c>
      <c r="H12" s="38">
        <f ca="1">IFERROR(__xludf.DUMMYFUNCTION("""COMPUTED_VALUE"""),1)</f>
        <v>1</v>
      </c>
      <c r="I12" s="38">
        <f ca="1">IFERROR(__xludf.DUMMYFUNCTION("""COMPUTED_VALUE"""),0.125)</f>
        <v>0.125</v>
      </c>
      <c r="J12" s="39">
        <f ca="1">IFERROR(__xludf.DUMMYFUNCTION("""COMPUTED_VALUE"""),21)</f>
        <v>21</v>
      </c>
      <c r="K12" s="39">
        <f ca="1">IFERROR(__xludf.DUMMYFUNCTION("""COMPUTED_VALUE"""),4)</f>
        <v>4</v>
      </c>
      <c r="L12" s="39">
        <f ca="1">IFERROR(__xludf.DUMMYFUNCTION("""COMPUTED_VALUE"""),5)</f>
        <v>5</v>
      </c>
      <c r="M12" s="39">
        <f ca="1">IFERROR(__xludf.DUMMYFUNCTION("""COMPUTED_VALUE"""),7)</f>
        <v>7</v>
      </c>
      <c r="N12" s="39">
        <f ca="1">IFERROR(__xludf.DUMMYFUNCTION("""COMPUTED_VALUE"""),37)</f>
        <v>37</v>
      </c>
      <c r="O12" s="39">
        <f ca="1">IFERROR(__xludf.DUMMYFUNCTION("""COMPUTED_VALUE"""),13)</f>
        <v>13</v>
      </c>
      <c r="P12" s="39">
        <f ca="1">IFERROR(__xludf.DUMMYFUNCTION("""COMPUTED_VALUE"""),14)</f>
        <v>14</v>
      </c>
      <c r="Q12" s="39">
        <f ca="1">IFERROR(__xludf.DUMMYFUNCTION("""COMPUTED_VALUE"""),0)</f>
        <v>0</v>
      </c>
      <c r="R12" s="39">
        <f ca="1">IFERROR(__xludf.DUMMYFUNCTION("""COMPUTED_VALUE"""),10)</f>
        <v>10</v>
      </c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20.25" customHeight="1" x14ac:dyDescent="0.25">
      <c r="A13" s="5"/>
      <c r="B13" s="35"/>
      <c r="C13" s="36"/>
      <c r="D13" s="37" t="str">
        <f ca="1">IFERROR(__xludf.DUMMYFUNCTION("""COMPUTED_VALUE"""),"Academic Staff")</f>
        <v>Academic Staff</v>
      </c>
      <c r="E13" s="36" t="str">
        <f ca="1">IFERROR(__xludf.DUMMYFUNCTION("""COMPUTED_VALUE"""),"Station 7")</f>
        <v>Station 7</v>
      </c>
      <c r="F13" s="36" t="str">
        <f ca="1">IFERROR(__xludf.DUMMYFUNCTION("""COMPUTED_VALUE"""),"Panel 1")</f>
        <v>Panel 1</v>
      </c>
      <c r="G13" s="38">
        <f ca="1">IFERROR(__xludf.DUMMYFUNCTION("""COMPUTED_VALUE"""),0.814838709677419)</f>
        <v>0.814838709677419</v>
      </c>
      <c r="H13" s="38">
        <f ca="1">IFERROR(__xludf.DUMMYFUNCTION("""COMPUTED_VALUE"""),1)</f>
        <v>1</v>
      </c>
      <c r="I13" s="38">
        <f ca="1">IFERROR(__xludf.DUMMYFUNCTION("""COMPUTED_VALUE"""),0.44)</f>
        <v>0.44</v>
      </c>
      <c r="J13" s="39">
        <f ca="1">IFERROR(__xludf.DUMMYFUNCTION("""COMPUTED_VALUE"""),7)</f>
        <v>7</v>
      </c>
      <c r="K13" s="39">
        <f ca="1">IFERROR(__xludf.DUMMYFUNCTION("""COMPUTED_VALUE"""),7)</f>
        <v>7</v>
      </c>
      <c r="L13" s="39">
        <f ca="1">IFERROR(__xludf.DUMMYFUNCTION("""COMPUTED_VALUE"""),28)</f>
        <v>28</v>
      </c>
      <c r="M13" s="39">
        <f ca="1">IFERROR(__xludf.DUMMYFUNCTION("""COMPUTED_VALUE"""),20)</f>
        <v>20</v>
      </c>
      <c r="N13" s="39">
        <f ca="1">IFERROR(__xludf.DUMMYFUNCTION("""COMPUTED_VALUE"""),62)</f>
        <v>62</v>
      </c>
      <c r="O13" s="39">
        <f ca="1">IFERROR(__xludf.DUMMYFUNCTION("""COMPUTED_VALUE"""),26)</f>
        <v>26</v>
      </c>
      <c r="P13" s="39">
        <f ca="1">IFERROR(__xludf.DUMMYFUNCTION("""COMPUTED_VALUE"""),25)</f>
        <v>25</v>
      </c>
      <c r="Q13" s="39">
        <f ca="1">IFERROR(__xludf.DUMMYFUNCTION("""COMPUTED_VALUE"""),11)</f>
        <v>11</v>
      </c>
      <c r="R13" s="39">
        <f ca="1">IFERROR(__xludf.DUMMYFUNCTION("""COMPUTED_VALUE"""),0)</f>
        <v>0</v>
      </c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20.25" customHeight="1" x14ac:dyDescent="0.25">
      <c r="A14" s="5"/>
      <c r="B14" s="35"/>
      <c r="C14" s="36"/>
      <c r="D14" s="37" t="str">
        <f ca="1">IFERROR(__xludf.DUMMYFUNCTION("""COMPUTED_VALUE"""),"Academic Staff")</f>
        <v>Academic Staff</v>
      </c>
      <c r="E14" s="36" t="str">
        <f ca="1">IFERROR(__xludf.DUMMYFUNCTION("""COMPUTED_VALUE"""),"Station 8")</f>
        <v>Station 8</v>
      </c>
      <c r="F14" s="36" t="str">
        <f ca="1">IFERROR(__xludf.DUMMYFUNCTION("""COMPUTED_VALUE"""),"Panel 1")</f>
        <v>Panel 1</v>
      </c>
      <c r="G14" s="38">
        <f ca="1">IFERROR(__xludf.DUMMYFUNCTION("""COMPUTED_VALUE"""),0.547490347490347)</f>
        <v>0.54749034749034697</v>
      </c>
      <c r="H14" s="38">
        <f ca="1">IFERROR(__xludf.DUMMYFUNCTION("""COMPUTED_VALUE"""),0.828571428571428)</f>
        <v>0.82857142857142796</v>
      </c>
      <c r="I14" s="38">
        <f ca="1">IFERROR(__xludf.DUMMYFUNCTION("""COMPUTED_VALUE"""),0.285714285714285)</f>
        <v>0.28571428571428498</v>
      </c>
      <c r="J14" s="39">
        <f ca="1">IFERROR(__xludf.DUMMYFUNCTION("""COMPUTED_VALUE"""),20)</f>
        <v>20</v>
      </c>
      <c r="K14" s="39">
        <f ca="1">IFERROR(__xludf.DUMMYFUNCTION("""COMPUTED_VALUE"""),16)</f>
        <v>16</v>
      </c>
      <c r="L14" s="39">
        <f ca="1">IFERROR(__xludf.DUMMYFUNCTION("""COMPUTED_VALUE"""),1)</f>
        <v>1</v>
      </c>
      <c r="M14" s="39">
        <f ca="1">IFERROR(__xludf.DUMMYFUNCTION("""COMPUTED_VALUE"""),0)</f>
        <v>0</v>
      </c>
      <c r="N14" s="39">
        <f ca="1">IFERROR(__xludf.DUMMYFUNCTION("""COMPUTED_VALUE"""),37)</f>
        <v>37</v>
      </c>
      <c r="O14" s="39">
        <f ca="1">IFERROR(__xludf.DUMMYFUNCTION("""COMPUTED_VALUE"""),13)</f>
        <v>13</v>
      </c>
      <c r="P14" s="39">
        <f ca="1">IFERROR(__xludf.DUMMYFUNCTION("""COMPUTED_VALUE"""),13)</f>
        <v>13</v>
      </c>
      <c r="Q14" s="39">
        <f ca="1">IFERROR(__xludf.DUMMYFUNCTION("""COMPUTED_VALUE"""),11)</f>
        <v>11</v>
      </c>
      <c r="R14" s="39">
        <f ca="1">IFERROR(__xludf.DUMMYFUNCTION("""COMPUTED_VALUE"""),0)</f>
        <v>0</v>
      </c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20.25" customHeight="1" x14ac:dyDescent="0.25">
      <c r="A15" s="5"/>
      <c r="B15" s="35"/>
      <c r="C15" s="36"/>
      <c r="D15" s="37" t="str">
        <f ca="1">IFERROR(__xludf.DUMMYFUNCTION("""COMPUTED_VALUE"""),"Academic Staff")</f>
        <v>Academic Staff</v>
      </c>
      <c r="E15" s="36" t="str">
        <f ca="1">IFERROR(__xludf.DUMMYFUNCTION("""COMPUTED_VALUE"""),"Station 9")</f>
        <v>Station 9</v>
      </c>
      <c r="F15" s="36" t="str">
        <f ca="1">IFERROR(__xludf.DUMMYFUNCTION("""COMPUTED_VALUE"""),"Panel 1")</f>
        <v>Panel 1</v>
      </c>
      <c r="G15" s="38">
        <f ca="1">IFERROR(__xludf.DUMMYFUNCTION("""COMPUTED_VALUE"""),0.858952702702702)</f>
        <v>0.85895270270270196</v>
      </c>
      <c r="H15" s="38">
        <f ca="1">IFERROR(__xludf.DUMMYFUNCTION("""COMPUTED_VALUE"""),1)</f>
        <v>1</v>
      </c>
      <c r="I15" s="38">
        <f ca="1">IFERROR(__xludf.DUMMYFUNCTION("""COMPUTED_VALUE"""),0.59375)</f>
        <v>0.59375</v>
      </c>
      <c r="J15" s="39">
        <f ca="1">IFERROR(__xludf.DUMMYFUNCTION("""COMPUTED_VALUE"""),1)</f>
        <v>1</v>
      </c>
      <c r="K15" s="39">
        <f ca="1">IFERROR(__xludf.DUMMYFUNCTION("""COMPUTED_VALUE"""),3)</f>
        <v>3</v>
      </c>
      <c r="L15" s="39">
        <f ca="1">IFERROR(__xludf.DUMMYFUNCTION("""COMPUTED_VALUE"""),15)</f>
        <v>15</v>
      </c>
      <c r="M15" s="39">
        <f ca="1">IFERROR(__xludf.DUMMYFUNCTION("""COMPUTED_VALUE"""),18)</f>
        <v>18</v>
      </c>
      <c r="N15" s="39">
        <f ca="1">IFERROR(__xludf.DUMMYFUNCTION("""COMPUTED_VALUE"""),37)</f>
        <v>37</v>
      </c>
      <c r="O15" s="39">
        <f ca="1">IFERROR(__xludf.DUMMYFUNCTION("""COMPUTED_VALUE"""),13)</f>
        <v>13</v>
      </c>
      <c r="P15" s="39">
        <f ca="1">IFERROR(__xludf.DUMMYFUNCTION("""COMPUTED_VALUE"""),13)</f>
        <v>13</v>
      </c>
      <c r="Q15" s="39">
        <f ca="1">IFERROR(__xludf.DUMMYFUNCTION("""COMPUTED_VALUE"""),11)</f>
        <v>11</v>
      </c>
      <c r="R15" s="39">
        <f ca="1">IFERROR(__xludf.DUMMYFUNCTION("""COMPUTED_VALUE"""),0)</f>
        <v>0</v>
      </c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20.25" customHeight="1" x14ac:dyDescent="0.25">
      <c r="A16" s="5"/>
      <c r="B16" s="35"/>
      <c r="C16" s="36"/>
      <c r="D16" s="37" t="str">
        <f ca="1">IFERROR(__xludf.DUMMYFUNCTION("""COMPUTED_VALUE"""),"College Staff")</f>
        <v>College Staff</v>
      </c>
      <c r="E16" s="36" t="str">
        <f ca="1">IFERROR(__xludf.DUMMYFUNCTION("""COMPUTED_VALUE"""),"Station 1")</f>
        <v>Station 1</v>
      </c>
      <c r="F16" s="36" t="str">
        <f ca="1">IFERROR(__xludf.DUMMYFUNCTION("""COMPUTED_VALUE"""),"Panel 2")</f>
        <v>Panel 2</v>
      </c>
      <c r="G16" s="38">
        <f ca="1">IFERROR(__xludf.DUMMYFUNCTION("""COMPUTED_VALUE"""),0.908564814814814)</f>
        <v>0.90856481481481399</v>
      </c>
      <c r="H16" s="38">
        <f ca="1">IFERROR(__xludf.DUMMYFUNCTION("""COMPUTED_VALUE"""),1)</f>
        <v>1</v>
      </c>
      <c r="I16" s="38">
        <f ca="1">IFERROR(__xludf.DUMMYFUNCTION("""COMPUTED_VALUE"""),0.8125)</f>
        <v>0.8125</v>
      </c>
      <c r="J16" s="39">
        <f ca="1">IFERROR(__xludf.DUMMYFUNCTION("""COMPUTED_VALUE"""),0)</f>
        <v>0</v>
      </c>
      <c r="K16" s="39">
        <f ca="1">IFERROR(__xludf.DUMMYFUNCTION("""COMPUTED_VALUE"""),0)</f>
        <v>0</v>
      </c>
      <c r="L16" s="39">
        <f ca="1">IFERROR(__xludf.DUMMYFUNCTION("""COMPUTED_VALUE"""),10)</f>
        <v>10</v>
      </c>
      <c r="M16" s="39">
        <f ca="1">IFERROR(__xludf.DUMMYFUNCTION("""COMPUTED_VALUE"""),17)</f>
        <v>17</v>
      </c>
      <c r="N16" s="39">
        <f ca="1">IFERROR(__xludf.DUMMYFUNCTION("""COMPUTED_VALUE"""),27)</f>
        <v>27</v>
      </c>
      <c r="O16" s="39">
        <f ca="1">IFERROR(__xludf.DUMMYFUNCTION("""COMPUTED_VALUE"""),13)</f>
        <v>13</v>
      </c>
      <c r="P16" s="39">
        <f ca="1">IFERROR(__xludf.DUMMYFUNCTION("""COMPUTED_VALUE"""),14)</f>
        <v>14</v>
      </c>
      <c r="Q16" s="39">
        <f ca="1">IFERROR(__xludf.DUMMYFUNCTION("""COMPUTED_VALUE"""),0)</f>
        <v>0</v>
      </c>
      <c r="R16" s="39">
        <f ca="1">IFERROR(__xludf.DUMMYFUNCTION("""COMPUTED_VALUE"""),0)</f>
        <v>0</v>
      </c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20.25" customHeight="1" x14ac:dyDescent="0.25">
      <c r="A17" s="5"/>
      <c r="B17" s="35"/>
      <c r="C17" s="36"/>
      <c r="D17" s="37" t="str">
        <f ca="1">IFERROR(__xludf.DUMMYFUNCTION("""COMPUTED_VALUE"""),"Non Academic Staff")</f>
        <v>Non Academic Staff</v>
      </c>
      <c r="E17" s="36" t="str">
        <f ca="1">IFERROR(__xludf.DUMMYFUNCTION("""COMPUTED_VALUE"""),"Station 2")</f>
        <v>Station 2</v>
      </c>
      <c r="F17" s="36" t="str">
        <f ca="1">IFERROR(__xludf.DUMMYFUNCTION("""COMPUTED_VALUE"""),"Panel 2")</f>
        <v>Panel 2</v>
      </c>
      <c r="G17" s="38">
        <f ca="1">IFERROR(__xludf.DUMMYFUNCTION("""COMPUTED_VALUE"""),0.939068100358422)</f>
        <v>0.93906810035842203</v>
      </c>
      <c r="H17" s="38">
        <f ca="1">IFERROR(__xludf.DUMMYFUNCTION("""COMPUTED_VALUE"""),1)</f>
        <v>1</v>
      </c>
      <c r="I17" s="38">
        <f ca="1">IFERROR(__xludf.DUMMYFUNCTION("""COMPUTED_VALUE"""),0.741935483870967)</f>
        <v>0.74193548387096697</v>
      </c>
      <c r="J17" s="39">
        <f ca="1">IFERROR(__xludf.DUMMYFUNCTION("""COMPUTED_VALUE"""),0)</f>
        <v>0</v>
      </c>
      <c r="K17" s="39">
        <f ca="1">IFERROR(__xludf.DUMMYFUNCTION("""COMPUTED_VALUE"""),1)</f>
        <v>1</v>
      </c>
      <c r="L17" s="39">
        <f ca="1">IFERROR(__xludf.DUMMYFUNCTION("""COMPUTED_VALUE"""),2)</f>
        <v>2</v>
      </c>
      <c r="M17" s="39">
        <f ca="1">IFERROR(__xludf.DUMMYFUNCTION("""COMPUTED_VALUE"""),24)</f>
        <v>24</v>
      </c>
      <c r="N17" s="39">
        <f ca="1">IFERROR(__xludf.DUMMYFUNCTION("""COMPUTED_VALUE"""),27)</f>
        <v>27</v>
      </c>
      <c r="O17" s="39">
        <f ca="1">IFERROR(__xludf.DUMMYFUNCTION("""COMPUTED_VALUE"""),13)</f>
        <v>13</v>
      </c>
      <c r="P17" s="39">
        <f ca="1">IFERROR(__xludf.DUMMYFUNCTION("""COMPUTED_VALUE"""),14)</f>
        <v>14</v>
      </c>
      <c r="Q17" s="39">
        <f ca="1">IFERROR(__xludf.DUMMYFUNCTION("""COMPUTED_VALUE"""),0)</f>
        <v>0</v>
      </c>
      <c r="R17" s="39">
        <f ca="1">IFERROR(__xludf.DUMMYFUNCTION("""COMPUTED_VALUE"""),0)</f>
        <v>0</v>
      </c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20.25" customHeight="1" x14ac:dyDescent="0.25">
      <c r="A18" s="5"/>
      <c r="B18" s="35"/>
      <c r="C18" s="36"/>
      <c r="D18" s="37" t="str">
        <f ca="1">IFERROR(__xludf.DUMMYFUNCTION("""COMPUTED_VALUE"""),"Academic Staff")</f>
        <v>Academic Staff</v>
      </c>
      <c r="E18" s="36" t="str">
        <f ca="1">IFERROR(__xludf.DUMMYFUNCTION("""COMPUTED_VALUE"""),"Station 3")</f>
        <v>Station 3</v>
      </c>
      <c r="F18" s="36" t="str">
        <f ca="1">IFERROR(__xludf.DUMMYFUNCTION("""COMPUTED_VALUE"""),"Panel 2")</f>
        <v>Panel 2</v>
      </c>
      <c r="G18" s="38">
        <f ca="1">IFERROR(__xludf.DUMMYFUNCTION("""COMPUTED_VALUE"""),0.782051282051282)</f>
        <v>0.78205128205128205</v>
      </c>
      <c r="H18" s="38">
        <f ca="1">IFERROR(__xludf.DUMMYFUNCTION("""COMPUTED_VALUE"""),1)</f>
        <v>1</v>
      </c>
      <c r="I18" s="38">
        <f ca="1">IFERROR(__xludf.DUMMYFUNCTION("""COMPUTED_VALUE"""),0.375)</f>
        <v>0.375</v>
      </c>
      <c r="J18" s="39">
        <f ca="1">IFERROR(__xludf.DUMMYFUNCTION("""COMPUTED_VALUE"""),7)</f>
        <v>7</v>
      </c>
      <c r="K18" s="39">
        <f ca="1">IFERROR(__xludf.DUMMYFUNCTION("""COMPUTED_VALUE"""),2)</f>
        <v>2</v>
      </c>
      <c r="L18" s="39">
        <f ca="1">IFERROR(__xludf.DUMMYFUNCTION("""COMPUTED_VALUE"""),21)</f>
        <v>21</v>
      </c>
      <c r="M18" s="39">
        <f ca="1">IFERROR(__xludf.DUMMYFUNCTION("""COMPUTED_VALUE"""),9)</f>
        <v>9</v>
      </c>
      <c r="N18" s="39">
        <f ca="1">IFERROR(__xludf.DUMMYFUNCTION("""COMPUTED_VALUE"""),39)</f>
        <v>39</v>
      </c>
      <c r="O18" s="39">
        <f ca="1">IFERROR(__xludf.DUMMYFUNCTION("""COMPUTED_VALUE"""),14)</f>
        <v>14</v>
      </c>
      <c r="P18" s="39">
        <f ca="1">IFERROR(__xludf.DUMMYFUNCTION("""COMPUTED_VALUE"""),14)</f>
        <v>14</v>
      </c>
      <c r="Q18" s="39">
        <f ca="1">IFERROR(__xludf.DUMMYFUNCTION("""COMPUTED_VALUE"""),11)</f>
        <v>11</v>
      </c>
      <c r="R18" s="39">
        <f ca="1">IFERROR(__xludf.DUMMYFUNCTION("""COMPUTED_VALUE"""),0)</f>
        <v>0</v>
      </c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20.25" customHeight="1" x14ac:dyDescent="0.25">
      <c r="A19" s="5"/>
      <c r="B19" s="35"/>
      <c r="C19" s="36"/>
      <c r="D19" s="37" t="str">
        <f ca="1">IFERROR(__xludf.DUMMYFUNCTION("""COMPUTED_VALUE"""),"College Staff")</f>
        <v>College Staff</v>
      </c>
      <c r="E19" s="36" t="str">
        <f ca="1">IFERROR(__xludf.DUMMYFUNCTION("""COMPUTED_VALUE"""),"Station 4")</f>
        <v>Station 4</v>
      </c>
      <c r="F19" s="36" t="str">
        <f ca="1">IFERROR(__xludf.DUMMYFUNCTION("""COMPUTED_VALUE"""),"Panel 2")</f>
        <v>Panel 2</v>
      </c>
      <c r="G19" s="38">
        <f ca="1">IFERROR(__xludf.DUMMYFUNCTION("""COMPUTED_VALUE"""),0.636538461538461)</f>
        <v>0.63653846153846105</v>
      </c>
      <c r="H19" s="38">
        <f ca="1">IFERROR(__xludf.DUMMYFUNCTION("""COMPUTED_VALUE"""),1)</f>
        <v>1</v>
      </c>
      <c r="I19" s="38">
        <f ca="1">IFERROR(__xludf.DUMMYFUNCTION("""COMPUTED_VALUE"""),0.3)</f>
        <v>0.3</v>
      </c>
      <c r="J19" s="39">
        <f ca="1">IFERROR(__xludf.DUMMYFUNCTION("""COMPUTED_VALUE"""),6)</f>
        <v>6</v>
      </c>
      <c r="K19" s="39">
        <f ca="1">IFERROR(__xludf.DUMMYFUNCTION("""COMPUTED_VALUE"""),15)</f>
        <v>15</v>
      </c>
      <c r="L19" s="39">
        <f ca="1">IFERROR(__xludf.DUMMYFUNCTION("""COMPUTED_VALUE"""),2)</f>
        <v>2</v>
      </c>
      <c r="M19" s="39">
        <f ca="1">IFERROR(__xludf.DUMMYFUNCTION("""COMPUTED_VALUE"""),3)</f>
        <v>3</v>
      </c>
      <c r="N19" s="39">
        <f ca="1">IFERROR(__xludf.DUMMYFUNCTION("""COMPUTED_VALUE"""),26)</f>
        <v>26</v>
      </c>
      <c r="O19" s="39">
        <f ca="1">IFERROR(__xludf.DUMMYFUNCTION("""COMPUTED_VALUE"""),19)</f>
        <v>19</v>
      </c>
      <c r="P19" s="39">
        <f ca="1">IFERROR(__xludf.DUMMYFUNCTION("""COMPUTED_VALUE"""),7)</f>
        <v>7</v>
      </c>
      <c r="Q19" s="39">
        <f ca="1">IFERROR(__xludf.DUMMYFUNCTION("""COMPUTED_VALUE"""),0)</f>
        <v>0</v>
      </c>
      <c r="R19" s="39">
        <f ca="1">IFERROR(__xludf.DUMMYFUNCTION("""COMPUTED_VALUE"""),0)</f>
        <v>0</v>
      </c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20.25" customHeight="1" x14ac:dyDescent="0.25">
      <c r="A20" s="5"/>
      <c r="B20" s="35"/>
      <c r="C20" s="36"/>
      <c r="D20" s="37" t="str">
        <f ca="1">IFERROR(__xludf.DUMMYFUNCTION("""COMPUTED_VALUE"""),"College Staff")</f>
        <v>College Staff</v>
      </c>
      <c r="E20" s="36" t="str">
        <f ca="1">IFERROR(__xludf.DUMMYFUNCTION("""COMPUTED_VALUE"""),"Station 5")</f>
        <v>Station 5</v>
      </c>
      <c r="F20" s="36" t="str">
        <f ca="1">IFERROR(__xludf.DUMMYFUNCTION("""COMPUTED_VALUE"""),"Panel 2")</f>
        <v>Panel 2</v>
      </c>
      <c r="G20" s="38">
        <f ca="1">IFERROR(__xludf.DUMMYFUNCTION("""COMPUTED_VALUE"""),0.824074074074074)</f>
        <v>0.82407407407407396</v>
      </c>
      <c r="H20" s="38">
        <f ca="1">IFERROR(__xludf.DUMMYFUNCTION("""COMPUTED_VALUE"""),0.95)</f>
        <v>0.95</v>
      </c>
      <c r="I20" s="38">
        <f ca="1">IFERROR(__xludf.DUMMYFUNCTION("""COMPUTED_VALUE"""),0.65)</f>
        <v>0.65</v>
      </c>
      <c r="J20" s="39">
        <f ca="1">IFERROR(__xludf.DUMMYFUNCTION("""COMPUTED_VALUE"""),0)</f>
        <v>0</v>
      </c>
      <c r="K20" s="39">
        <f ca="1">IFERROR(__xludf.DUMMYFUNCTION("""COMPUTED_VALUE"""),5)</f>
        <v>5</v>
      </c>
      <c r="L20" s="39">
        <f ca="1">IFERROR(__xludf.DUMMYFUNCTION("""COMPUTED_VALUE"""),12)</f>
        <v>12</v>
      </c>
      <c r="M20" s="39">
        <f ca="1">IFERROR(__xludf.DUMMYFUNCTION("""COMPUTED_VALUE"""),10)</f>
        <v>10</v>
      </c>
      <c r="N20" s="39">
        <f ca="1">IFERROR(__xludf.DUMMYFUNCTION("""COMPUTED_VALUE"""),27)</f>
        <v>27</v>
      </c>
      <c r="O20" s="39">
        <f ca="1">IFERROR(__xludf.DUMMYFUNCTION("""COMPUTED_VALUE"""),13)</f>
        <v>13</v>
      </c>
      <c r="P20" s="39">
        <f ca="1">IFERROR(__xludf.DUMMYFUNCTION("""COMPUTED_VALUE"""),14)</f>
        <v>14</v>
      </c>
      <c r="Q20" s="39">
        <f ca="1">IFERROR(__xludf.DUMMYFUNCTION("""COMPUTED_VALUE"""),0)</f>
        <v>0</v>
      </c>
      <c r="R20" s="39">
        <f ca="1">IFERROR(__xludf.DUMMYFUNCTION("""COMPUTED_VALUE"""),0)</f>
        <v>0</v>
      </c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20.25" customHeight="1" x14ac:dyDescent="0.25">
      <c r="A21" s="5"/>
      <c r="B21" s="35"/>
      <c r="C21" s="36"/>
      <c r="D21" s="37" t="str">
        <f ca="1">IFERROR(__xludf.DUMMYFUNCTION("""COMPUTED_VALUE"""),"Academic Staff")</f>
        <v>Academic Staff</v>
      </c>
      <c r="E21" s="36" t="str">
        <f ca="1">IFERROR(__xludf.DUMMYFUNCTION("""COMPUTED_VALUE"""),"Station 6")</f>
        <v>Station 6</v>
      </c>
      <c r="F21" s="36" t="str">
        <f ca="1">IFERROR(__xludf.DUMMYFUNCTION("""COMPUTED_VALUE"""),"Panel 2")</f>
        <v>Panel 2</v>
      </c>
      <c r="G21" s="38">
        <f ca="1">IFERROR(__xludf.DUMMYFUNCTION("""COMPUTED_VALUE"""),0.652243589743589)</f>
        <v>0.65224358974358898</v>
      </c>
      <c r="H21" s="38">
        <f ca="1">IFERROR(__xludf.DUMMYFUNCTION("""COMPUTED_VALUE"""),0.958333333333333)</f>
        <v>0.95833333333333304</v>
      </c>
      <c r="I21" s="38">
        <f ca="1">IFERROR(__xludf.DUMMYFUNCTION("""COMPUTED_VALUE"""),0.208333333333333)</f>
        <v>0.20833333333333301</v>
      </c>
      <c r="J21" s="39">
        <f ca="1">IFERROR(__xludf.DUMMYFUNCTION("""COMPUTED_VALUE"""),11)</f>
        <v>11</v>
      </c>
      <c r="K21" s="39">
        <f ca="1">IFERROR(__xludf.DUMMYFUNCTION("""COMPUTED_VALUE"""),2)</f>
        <v>2</v>
      </c>
      <c r="L21" s="39">
        <f ca="1">IFERROR(__xludf.DUMMYFUNCTION("""COMPUTED_VALUE"""),10)</f>
        <v>10</v>
      </c>
      <c r="M21" s="39">
        <f ca="1">IFERROR(__xludf.DUMMYFUNCTION("""COMPUTED_VALUE"""),3)</f>
        <v>3</v>
      </c>
      <c r="N21" s="39">
        <f ca="1">IFERROR(__xludf.DUMMYFUNCTION("""COMPUTED_VALUE"""),26)</f>
        <v>26</v>
      </c>
      <c r="O21" s="39">
        <f ca="1">IFERROR(__xludf.DUMMYFUNCTION("""COMPUTED_VALUE"""),12)</f>
        <v>12</v>
      </c>
      <c r="P21" s="39">
        <f ca="1">IFERROR(__xludf.DUMMYFUNCTION("""COMPUTED_VALUE"""),14)</f>
        <v>14</v>
      </c>
      <c r="Q21" s="39">
        <f ca="1">IFERROR(__xludf.DUMMYFUNCTION("""COMPUTED_VALUE"""),0)</f>
        <v>0</v>
      </c>
      <c r="R21" s="39">
        <f ca="1">IFERROR(__xludf.DUMMYFUNCTION("""COMPUTED_VALUE"""),0)</f>
        <v>0</v>
      </c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20.25" customHeight="1" x14ac:dyDescent="0.25">
      <c r="A22" s="5"/>
      <c r="B22" s="35"/>
      <c r="C22" s="36"/>
      <c r="D22" s="37" t="str">
        <f ca="1">IFERROR(__xludf.DUMMYFUNCTION("""COMPUTED_VALUE"""),"Academic Staff")</f>
        <v>Academic Staff</v>
      </c>
      <c r="E22" s="36" t="str">
        <f ca="1">IFERROR(__xludf.DUMMYFUNCTION("""COMPUTED_VALUE"""),"Station 7")</f>
        <v>Station 7</v>
      </c>
      <c r="F22" s="36" t="str">
        <f ca="1">IFERROR(__xludf.DUMMYFUNCTION("""COMPUTED_VALUE"""),"Panel 2")</f>
        <v>Panel 2</v>
      </c>
      <c r="G22" s="38">
        <f ca="1">IFERROR(__xludf.DUMMYFUNCTION("""COMPUTED_VALUE"""),0.688888888888888)</f>
        <v>0.688888888888888</v>
      </c>
      <c r="H22" s="38">
        <f ca="1">IFERROR(__xludf.DUMMYFUNCTION("""COMPUTED_VALUE"""),0.92)</f>
        <v>0.92</v>
      </c>
      <c r="I22" s="38">
        <f ca="1">IFERROR(__xludf.DUMMYFUNCTION("""COMPUTED_VALUE"""),0.4)</f>
        <v>0.4</v>
      </c>
      <c r="J22" s="39">
        <f ca="1">IFERROR(__xludf.DUMMYFUNCTION("""COMPUTED_VALUE"""),4)</f>
        <v>4</v>
      </c>
      <c r="K22" s="39">
        <f ca="1">IFERROR(__xludf.DUMMYFUNCTION("""COMPUTED_VALUE"""),15)</f>
        <v>15</v>
      </c>
      <c r="L22" s="39">
        <f ca="1">IFERROR(__xludf.DUMMYFUNCTION("""COMPUTED_VALUE"""),6)</f>
        <v>6</v>
      </c>
      <c r="M22" s="39">
        <f ca="1">IFERROR(__xludf.DUMMYFUNCTION("""COMPUTED_VALUE"""),2)</f>
        <v>2</v>
      </c>
      <c r="N22" s="39">
        <f ca="1">IFERROR(__xludf.DUMMYFUNCTION("""COMPUTED_VALUE"""),27)</f>
        <v>27</v>
      </c>
      <c r="O22" s="39">
        <f ca="1">IFERROR(__xludf.DUMMYFUNCTION("""COMPUTED_VALUE"""),13)</f>
        <v>13</v>
      </c>
      <c r="P22" s="39">
        <f ca="1">IFERROR(__xludf.DUMMYFUNCTION("""COMPUTED_VALUE"""),14)</f>
        <v>14</v>
      </c>
      <c r="Q22" s="39">
        <f ca="1">IFERROR(__xludf.DUMMYFUNCTION("""COMPUTED_VALUE"""),0)</f>
        <v>0</v>
      </c>
      <c r="R22" s="39">
        <f ca="1">IFERROR(__xludf.DUMMYFUNCTION("""COMPUTED_VALUE"""),0)</f>
        <v>0</v>
      </c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20.25" customHeight="1" x14ac:dyDescent="0.25">
      <c r="A23" s="5"/>
      <c r="B23" s="35"/>
      <c r="C23" s="36"/>
      <c r="D23" s="37" t="str">
        <f ca="1">IFERROR(__xludf.DUMMYFUNCTION("""COMPUTED_VALUE"""),"College Staff")</f>
        <v>College Staff</v>
      </c>
      <c r="E23" s="36" t="str">
        <f ca="1">IFERROR(__xludf.DUMMYFUNCTION("""COMPUTED_VALUE"""),"Station 8")</f>
        <v>Station 8</v>
      </c>
      <c r="F23" s="36" t="str">
        <f ca="1">IFERROR(__xludf.DUMMYFUNCTION("""COMPUTED_VALUE"""),"Panel 2")</f>
        <v>Panel 2</v>
      </c>
      <c r="G23" s="38">
        <f ca="1">IFERROR(__xludf.DUMMYFUNCTION("""COMPUTED_VALUE"""),0.67089947089947)</f>
        <v>0.67089947089947</v>
      </c>
      <c r="H23" s="38">
        <f ca="1">IFERROR(__xludf.DUMMYFUNCTION("""COMPUTED_VALUE"""),0.914285714285714)</f>
        <v>0.91428571428571404</v>
      </c>
      <c r="I23" s="38">
        <f ca="1">IFERROR(__xludf.DUMMYFUNCTION("""COMPUTED_VALUE"""),0.485714285714285)</f>
        <v>0.48571428571428499</v>
      </c>
      <c r="J23" s="39">
        <f ca="1">IFERROR(__xludf.DUMMYFUNCTION("""COMPUTED_VALUE"""),9)</f>
        <v>9</v>
      </c>
      <c r="K23" s="39">
        <f ca="1">IFERROR(__xludf.DUMMYFUNCTION("""COMPUTED_VALUE"""),9)</f>
        <v>9</v>
      </c>
      <c r="L23" s="39">
        <f ca="1">IFERROR(__xludf.DUMMYFUNCTION("""COMPUTED_VALUE"""),8)</f>
        <v>8</v>
      </c>
      <c r="M23" s="39">
        <f ca="1">IFERROR(__xludf.DUMMYFUNCTION("""COMPUTED_VALUE"""),1)</f>
        <v>1</v>
      </c>
      <c r="N23" s="39">
        <f ca="1">IFERROR(__xludf.DUMMYFUNCTION("""COMPUTED_VALUE"""),27)</f>
        <v>27</v>
      </c>
      <c r="O23" s="39">
        <f ca="1">IFERROR(__xludf.DUMMYFUNCTION("""COMPUTED_VALUE"""),13)</f>
        <v>13</v>
      </c>
      <c r="P23" s="39">
        <f ca="1">IFERROR(__xludf.DUMMYFUNCTION("""COMPUTED_VALUE"""),14)</f>
        <v>14</v>
      </c>
      <c r="Q23" s="39">
        <f ca="1">IFERROR(__xludf.DUMMYFUNCTION("""COMPUTED_VALUE"""),0)</f>
        <v>0</v>
      </c>
      <c r="R23" s="39">
        <f ca="1">IFERROR(__xludf.DUMMYFUNCTION("""COMPUTED_VALUE"""),0)</f>
        <v>0</v>
      </c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20.25" customHeight="1" x14ac:dyDescent="0.25">
      <c r="A24" s="5"/>
      <c r="B24" s="35"/>
      <c r="C24" s="36"/>
      <c r="D24" s="37" t="str">
        <f ca="1">IFERROR(__xludf.DUMMYFUNCTION("""COMPUTED_VALUE"""),"Academic Staff")</f>
        <v>Academic Staff</v>
      </c>
      <c r="E24" s="36" t="str">
        <f ca="1">IFERROR(__xludf.DUMMYFUNCTION("""COMPUTED_VALUE"""),"Station 9")</f>
        <v>Station 9</v>
      </c>
      <c r="F24" s="36" t="str">
        <f ca="1">IFERROR(__xludf.DUMMYFUNCTION("""COMPUTED_VALUE"""),"Panel 2")</f>
        <v>Panel 2</v>
      </c>
      <c r="G24" s="38">
        <f ca="1">IFERROR(__xludf.DUMMYFUNCTION("""COMPUTED_VALUE"""),0.877314814814814)</f>
        <v>0.87731481481481399</v>
      </c>
      <c r="H24" s="38">
        <f ca="1">IFERROR(__xludf.DUMMYFUNCTION("""COMPUTED_VALUE"""),0.96875)</f>
        <v>0.96875</v>
      </c>
      <c r="I24" s="38">
        <f ca="1">IFERROR(__xludf.DUMMYFUNCTION("""COMPUTED_VALUE"""),0.6875)</f>
        <v>0.6875</v>
      </c>
      <c r="J24" s="39">
        <f ca="1">IFERROR(__xludf.DUMMYFUNCTION("""COMPUTED_VALUE"""),0)</f>
        <v>0</v>
      </c>
      <c r="K24" s="39">
        <f ca="1">IFERROR(__xludf.DUMMYFUNCTION("""COMPUTED_VALUE"""),2)</f>
        <v>2</v>
      </c>
      <c r="L24" s="39">
        <f ca="1">IFERROR(__xludf.DUMMYFUNCTION("""COMPUTED_VALUE"""),11)</f>
        <v>11</v>
      </c>
      <c r="M24" s="39">
        <f ca="1">IFERROR(__xludf.DUMMYFUNCTION("""COMPUTED_VALUE"""),14)</f>
        <v>14</v>
      </c>
      <c r="N24" s="39">
        <f ca="1">IFERROR(__xludf.DUMMYFUNCTION("""COMPUTED_VALUE"""),27)</f>
        <v>27</v>
      </c>
      <c r="O24" s="39">
        <f ca="1">IFERROR(__xludf.DUMMYFUNCTION("""COMPUTED_VALUE"""),13)</f>
        <v>13</v>
      </c>
      <c r="P24" s="39">
        <f ca="1">IFERROR(__xludf.DUMMYFUNCTION("""COMPUTED_VALUE"""),14)</f>
        <v>14</v>
      </c>
      <c r="Q24" s="39">
        <f ca="1">IFERROR(__xludf.DUMMYFUNCTION("""COMPUTED_VALUE"""),0)</f>
        <v>0</v>
      </c>
      <c r="R24" s="39">
        <f ca="1">IFERROR(__xludf.DUMMYFUNCTION("""COMPUTED_VALUE"""),0)</f>
        <v>0</v>
      </c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20.25" customHeight="1" x14ac:dyDescent="0.25">
      <c r="A25" s="5"/>
      <c r="B25" s="35"/>
      <c r="C25" s="36"/>
      <c r="D25" s="37" t="str">
        <f ca="1">IFERROR(__xludf.DUMMYFUNCTION("""COMPUTED_VALUE"""),"College Staff")</f>
        <v>College Staff</v>
      </c>
      <c r="E25" s="36" t="str">
        <f ca="1">IFERROR(__xludf.DUMMYFUNCTION("""COMPUTED_VALUE"""),"Station 1")</f>
        <v>Station 1</v>
      </c>
      <c r="F25" s="36" t="str">
        <f ca="1">IFERROR(__xludf.DUMMYFUNCTION("""COMPUTED_VALUE"""),"Panel 3")</f>
        <v>Panel 3</v>
      </c>
      <c r="G25" s="38">
        <f ca="1">IFERROR(__xludf.DUMMYFUNCTION("""COMPUTED_VALUE"""),0.7025)</f>
        <v>0.70250000000000001</v>
      </c>
      <c r="H25" s="38">
        <f ca="1">IFERROR(__xludf.DUMMYFUNCTION("""COMPUTED_VALUE"""),0.90625)</f>
        <v>0.90625</v>
      </c>
      <c r="I25" s="38">
        <f ca="1">IFERROR(__xludf.DUMMYFUNCTION("""COMPUTED_VALUE"""),0.53125)</f>
        <v>0.53125</v>
      </c>
      <c r="J25" s="39">
        <f ca="1">IFERROR(__xludf.DUMMYFUNCTION("""COMPUTED_VALUE"""),5)</f>
        <v>5</v>
      </c>
      <c r="K25" s="39">
        <f ca="1">IFERROR(__xludf.DUMMYFUNCTION("""COMPUTED_VALUE"""),12)</f>
        <v>12</v>
      </c>
      <c r="L25" s="39">
        <f ca="1">IFERROR(__xludf.DUMMYFUNCTION("""COMPUTED_VALUE"""),6)</f>
        <v>6</v>
      </c>
      <c r="M25" s="39">
        <f ca="1">IFERROR(__xludf.DUMMYFUNCTION("""COMPUTED_VALUE"""),2)</f>
        <v>2</v>
      </c>
      <c r="N25" s="39">
        <f ca="1">IFERROR(__xludf.DUMMYFUNCTION("""COMPUTED_VALUE"""),25)</f>
        <v>25</v>
      </c>
      <c r="O25" s="39">
        <f ca="1">IFERROR(__xludf.DUMMYFUNCTION("""COMPUTED_VALUE"""),15)</f>
        <v>15</v>
      </c>
      <c r="P25" s="39">
        <f ca="1">IFERROR(__xludf.DUMMYFUNCTION("""COMPUTED_VALUE"""),10)</f>
        <v>10</v>
      </c>
      <c r="Q25" s="39">
        <f ca="1">IFERROR(__xludf.DUMMYFUNCTION("""COMPUTED_VALUE"""),0)</f>
        <v>0</v>
      </c>
      <c r="R25" s="39">
        <f ca="1">IFERROR(__xludf.DUMMYFUNCTION("""COMPUTED_VALUE"""),0)</f>
        <v>0</v>
      </c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20.25" customHeight="1" x14ac:dyDescent="0.25">
      <c r="A26" s="5"/>
      <c r="B26" s="35"/>
      <c r="C26" s="36"/>
      <c r="D26" s="37" t="str">
        <f ca="1">IFERROR(__xludf.DUMMYFUNCTION("""COMPUTED_VALUE"""),"Non Academic Staff")</f>
        <v>Non Academic Staff</v>
      </c>
      <c r="E26" s="36" t="str">
        <f ca="1">IFERROR(__xludf.DUMMYFUNCTION("""COMPUTED_VALUE"""),"Station 2")</f>
        <v>Station 2</v>
      </c>
      <c r="F26" s="36" t="str">
        <f ca="1">IFERROR(__xludf.DUMMYFUNCTION("""COMPUTED_VALUE"""),"Panel 3")</f>
        <v>Panel 3</v>
      </c>
      <c r="G26" s="38">
        <f ca="1">IFERROR(__xludf.DUMMYFUNCTION("""COMPUTED_VALUE"""),0.815483870967741)</f>
        <v>0.815483870967741</v>
      </c>
      <c r="H26" s="38">
        <f ca="1">IFERROR(__xludf.DUMMYFUNCTION("""COMPUTED_VALUE"""),1)</f>
        <v>1</v>
      </c>
      <c r="I26" s="38">
        <f ca="1">IFERROR(__xludf.DUMMYFUNCTION("""COMPUTED_VALUE"""),0.483870967741935)</f>
        <v>0.483870967741935</v>
      </c>
      <c r="J26" s="39">
        <f ca="1">IFERROR(__xludf.DUMMYFUNCTION("""COMPUTED_VALUE"""),2)</f>
        <v>2</v>
      </c>
      <c r="K26" s="39">
        <f ca="1">IFERROR(__xludf.DUMMYFUNCTION("""COMPUTED_VALUE"""),6)</f>
        <v>6</v>
      </c>
      <c r="L26" s="39">
        <f ca="1">IFERROR(__xludf.DUMMYFUNCTION("""COMPUTED_VALUE"""),6)</f>
        <v>6</v>
      </c>
      <c r="M26" s="39">
        <f ca="1">IFERROR(__xludf.DUMMYFUNCTION("""COMPUTED_VALUE"""),11)</f>
        <v>11</v>
      </c>
      <c r="N26" s="39">
        <f ca="1">IFERROR(__xludf.DUMMYFUNCTION("""COMPUTED_VALUE"""),25)</f>
        <v>25</v>
      </c>
      <c r="O26" s="39">
        <f ca="1">IFERROR(__xludf.DUMMYFUNCTION("""COMPUTED_VALUE"""),13)</f>
        <v>13</v>
      </c>
      <c r="P26" s="39">
        <f ca="1">IFERROR(__xludf.DUMMYFUNCTION("""COMPUTED_VALUE"""),12)</f>
        <v>12</v>
      </c>
      <c r="Q26" s="39">
        <f ca="1">IFERROR(__xludf.DUMMYFUNCTION("""COMPUTED_VALUE"""),0)</f>
        <v>0</v>
      </c>
      <c r="R26" s="39">
        <f ca="1">IFERROR(__xludf.DUMMYFUNCTION("""COMPUTED_VALUE"""),0)</f>
        <v>0</v>
      </c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20.25" customHeight="1" x14ac:dyDescent="0.25">
      <c r="A27" s="5"/>
      <c r="B27" s="35"/>
      <c r="C27" s="36"/>
      <c r="D27" s="37" t="str">
        <f ca="1">IFERROR(__xludf.DUMMYFUNCTION("""COMPUTED_VALUE"""),"Academic Staff")</f>
        <v>Academic Staff</v>
      </c>
      <c r="E27" s="36" t="str">
        <f ca="1">IFERROR(__xludf.DUMMYFUNCTION("""COMPUTED_VALUE"""),"Station 3")</f>
        <v>Station 3</v>
      </c>
      <c r="F27" s="36" t="str">
        <f ca="1">IFERROR(__xludf.DUMMYFUNCTION("""COMPUTED_VALUE"""),"Panel 3")</f>
        <v>Panel 3</v>
      </c>
      <c r="G27" s="38">
        <f ca="1">IFERROR(__xludf.DUMMYFUNCTION("""COMPUTED_VALUE"""),0.762152777777777)</f>
        <v>0.76215277777777701</v>
      </c>
      <c r="H27" s="38">
        <f ca="1">IFERROR(__xludf.DUMMYFUNCTION("""COMPUTED_VALUE"""),0.916666666666666)</f>
        <v>0.91666666666666596</v>
      </c>
      <c r="I27" s="38">
        <f ca="1">IFERROR(__xludf.DUMMYFUNCTION("""COMPUTED_VALUE"""),0.541666666666666)</f>
        <v>0.54166666666666596</v>
      </c>
      <c r="J27" s="39">
        <f ca="1">IFERROR(__xludf.DUMMYFUNCTION("""COMPUTED_VALUE"""),1)</f>
        <v>1</v>
      </c>
      <c r="K27" s="39">
        <f ca="1">IFERROR(__xludf.DUMMYFUNCTION("""COMPUTED_VALUE"""),9)</f>
        <v>9</v>
      </c>
      <c r="L27" s="39">
        <f ca="1">IFERROR(__xludf.DUMMYFUNCTION("""COMPUTED_VALUE"""),13)</f>
        <v>13</v>
      </c>
      <c r="M27" s="39">
        <f ca="1">IFERROR(__xludf.DUMMYFUNCTION("""COMPUTED_VALUE"""),1)</f>
        <v>1</v>
      </c>
      <c r="N27" s="39">
        <f ca="1">IFERROR(__xludf.DUMMYFUNCTION("""COMPUTED_VALUE"""),24)</f>
        <v>24</v>
      </c>
      <c r="O27" s="39">
        <f ca="1">IFERROR(__xludf.DUMMYFUNCTION("""COMPUTED_VALUE"""),13)</f>
        <v>13</v>
      </c>
      <c r="P27" s="39">
        <f ca="1">IFERROR(__xludf.DUMMYFUNCTION("""COMPUTED_VALUE"""),11)</f>
        <v>11</v>
      </c>
      <c r="Q27" s="39">
        <f ca="1">IFERROR(__xludf.DUMMYFUNCTION("""COMPUTED_VALUE"""),0)</f>
        <v>0</v>
      </c>
      <c r="R27" s="39">
        <f ca="1">IFERROR(__xludf.DUMMYFUNCTION("""COMPUTED_VALUE"""),0)</f>
        <v>0</v>
      </c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20.25" customHeight="1" x14ac:dyDescent="0.25">
      <c r="A28" s="5"/>
      <c r="B28" s="35"/>
      <c r="C28" s="36"/>
      <c r="D28" s="37" t="str">
        <f ca="1">IFERROR(__xludf.DUMMYFUNCTION("""COMPUTED_VALUE"""),"College Staff")</f>
        <v>College Staff</v>
      </c>
      <c r="E28" s="36" t="str">
        <f ca="1">IFERROR(__xludf.DUMMYFUNCTION("""COMPUTED_VALUE"""),"Station 4")</f>
        <v>Station 4</v>
      </c>
      <c r="F28" s="36" t="str">
        <f ca="1">IFERROR(__xludf.DUMMYFUNCTION("""COMPUTED_VALUE"""),"Panel 3")</f>
        <v>Panel 3</v>
      </c>
      <c r="G28" s="38">
        <f ca="1">IFERROR(__xludf.DUMMYFUNCTION("""COMPUTED_VALUE"""),0.754)</f>
        <v>0.754</v>
      </c>
      <c r="H28" s="38">
        <f ca="1">IFERROR(__xludf.DUMMYFUNCTION("""COMPUTED_VALUE"""),1)</f>
        <v>1</v>
      </c>
      <c r="I28" s="38">
        <f ca="1">IFERROR(__xludf.DUMMYFUNCTION("""COMPUTED_VALUE"""),0.3)</f>
        <v>0.3</v>
      </c>
      <c r="J28" s="39">
        <f ca="1">IFERROR(__xludf.DUMMYFUNCTION("""COMPUTED_VALUE"""),4)</f>
        <v>4</v>
      </c>
      <c r="K28" s="39">
        <f ca="1">IFERROR(__xludf.DUMMYFUNCTION("""COMPUTED_VALUE"""),5)</f>
        <v>5</v>
      </c>
      <c r="L28" s="39">
        <f ca="1">IFERROR(__xludf.DUMMYFUNCTION("""COMPUTED_VALUE"""),9)</f>
        <v>9</v>
      </c>
      <c r="M28" s="39">
        <f ca="1">IFERROR(__xludf.DUMMYFUNCTION("""COMPUTED_VALUE"""),7)</f>
        <v>7</v>
      </c>
      <c r="N28" s="39">
        <f ca="1">IFERROR(__xludf.DUMMYFUNCTION("""COMPUTED_VALUE"""),25)</f>
        <v>25</v>
      </c>
      <c r="O28" s="39">
        <f ca="1">IFERROR(__xludf.DUMMYFUNCTION("""COMPUTED_VALUE"""),14)</f>
        <v>14</v>
      </c>
      <c r="P28" s="39">
        <f ca="1">IFERROR(__xludf.DUMMYFUNCTION("""COMPUTED_VALUE"""),11)</f>
        <v>11</v>
      </c>
      <c r="Q28" s="39">
        <f ca="1">IFERROR(__xludf.DUMMYFUNCTION("""COMPUTED_VALUE"""),0)</f>
        <v>0</v>
      </c>
      <c r="R28" s="39">
        <f ca="1">IFERROR(__xludf.DUMMYFUNCTION("""COMPUTED_VALUE"""),0)</f>
        <v>0</v>
      </c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20.25" customHeight="1" x14ac:dyDescent="0.25">
      <c r="A29" s="5"/>
      <c r="B29" s="35"/>
      <c r="C29" s="36"/>
      <c r="D29" s="37" t="str">
        <f ca="1">IFERROR(__xludf.DUMMYFUNCTION("""COMPUTED_VALUE"""),"College Staff")</f>
        <v>College Staff</v>
      </c>
      <c r="E29" s="36" t="str">
        <f ca="1">IFERROR(__xludf.DUMMYFUNCTION("""COMPUTED_VALUE"""),"Station 5")</f>
        <v>Station 5</v>
      </c>
      <c r="F29" s="36" t="str">
        <f ca="1">IFERROR(__xludf.DUMMYFUNCTION("""COMPUTED_VALUE"""),"Panel 3")</f>
        <v>Panel 3</v>
      </c>
      <c r="G29" s="38">
        <f ca="1">IFERROR(__xludf.DUMMYFUNCTION("""COMPUTED_VALUE"""),0.953999999999999)</f>
        <v>0.95399999999999896</v>
      </c>
      <c r="H29" s="38">
        <f ca="1">IFERROR(__xludf.DUMMYFUNCTION("""COMPUTED_VALUE"""),1)</f>
        <v>1</v>
      </c>
      <c r="I29" s="38">
        <f ca="1">IFERROR(__xludf.DUMMYFUNCTION("""COMPUTED_VALUE"""),0.6)</f>
        <v>0.6</v>
      </c>
      <c r="J29" s="39">
        <f ca="1">IFERROR(__xludf.DUMMYFUNCTION("""COMPUTED_VALUE"""),0)</f>
        <v>0</v>
      </c>
      <c r="K29" s="39">
        <f ca="1">IFERROR(__xludf.DUMMYFUNCTION("""COMPUTED_VALUE"""),1)</f>
        <v>1</v>
      </c>
      <c r="L29" s="39">
        <f ca="1">IFERROR(__xludf.DUMMYFUNCTION("""COMPUTED_VALUE"""),2)</f>
        <v>2</v>
      </c>
      <c r="M29" s="39">
        <f ca="1">IFERROR(__xludf.DUMMYFUNCTION("""COMPUTED_VALUE"""),22)</f>
        <v>22</v>
      </c>
      <c r="N29" s="39">
        <f ca="1">IFERROR(__xludf.DUMMYFUNCTION("""COMPUTED_VALUE"""),25)</f>
        <v>25</v>
      </c>
      <c r="O29" s="39">
        <f ca="1">IFERROR(__xludf.DUMMYFUNCTION("""COMPUTED_VALUE"""),13)</f>
        <v>13</v>
      </c>
      <c r="P29" s="39">
        <f ca="1">IFERROR(__xludf.DUMMYFUNCTION("""COMPUTED_VALUE"""),12)</f>
        <v>12</v>
      </c>
      <c r="Q29" s="39">
        <f ca="1">IFERROR(__xludf.DUMMYFUNCTION("""COMPUTED_VALUE"""),0)</f>
        <v>0</v>
      </c>
      <c r="R29" s="39">
        <f ca="1">IFERROR(__xludf.DUMMYFUNCTION("""COMPUTED_VALUE"""),0)</f>
        <v>0</v>
      </c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20.25" customHeight="1" x14ac:dyDescent="0.25">
      <c r="A30" s="5"/>
      <c r="B30" s="35"/>
      <c r="C30" s="36"/>
      <c r="D30" s="37" t="str">
        <f ca="1">IFERROR(__xludf.DUMMYFUNCTION("""COMPUTED_VALUE"""),"College Staff")</f>
        <v>College Staff</v>
      </c>
      <c r="E30" s="36" t="str">
        <f ca="1">IFERROR(__xludf.DUMMYFUNCTION("""COMPUTED_VALUE"""),"Station 6")</f>
        <v>Station 6</v>
      </c>
      <c r="F30" s="36" t="str">
        <f ca="1">IFERROR(__xludf.DUMMYFUNCTION("""COMPUTED_VALUE"""),"Panel 3")</f>
        <v>Panel 3</v>
      </c>
      <c r="G30" s="38">
        <f ca="1">IFERROR(__xludf.DUMMYFUNCTION("""COMPUTED_VALUE"""),0.728333333333333)</f>
        <v>0.72833333333333306</v>
      </c>
      <c r="H30" s="38">
        <f ca="1">IFERROR(__xludf.DUMMYFUNCTION("""COMPUTED_VALUE"""),1)</f>
        <v>1</v>
      </c>
      <c r="I30" s="38">
        <f ca="1">IFERROR(__xludf.DUMMYFUNCTION("""COMPUTED_VALUE"""),0.333333333333333)</f>
        <v>0.33333333333333298</v>
      </c>
      <c r="J30" s="39">
        <f ca="1">IFERROR(__xludf.DUMMYFUNCTION("""COMPUTED_VALUE"""),7)</f>
        <v>7</v>
      </c>
      <c r="K30" s="39">
        <f ca="1">IFERROR(__xludf.DUMMYFUNCTION("""COMPUTED_VALUE"""),5)</f>
        <v>5</v>
      </c>
      <c r="L30" s="39">
        <f ca="1">IFERROR(__xludf.DUMMYFUNCTION("""COMPUTED_VALUE"""),6)</f>
        <v>6</v>
      </c>
      <c r="M30" s="39">
        <f ca="1">IFERROR(__xludf.DUMMYFUNCTION("""COMPUTED_VALUE"""),7)</f>
        <v>7</v>
      </c>
      <c r="N30" s="39">
        <f ca="1">IFERROR(__xludf.DUMMYFUNCTION("""COMPUTED_VALUE"""),25)</f>
        <v>25</v>
      </c>
      <c r="O30" s="39">
        <f ca="1">IFERROR(__xludf.DUMMYFUNCTION("""COMPUTED_VALUE"""),12)</f>
        <v>12</v>
      </c>
      <c r="P30" s="39">
        <f ca="1">IFERROR(__xludf.DUMMYFUNCTION("""COMPUTED_VALUE"""),13)</f>
        <v>13</v>
      </c>
      <c r="Q30" s="39">
        <f ca="1">IFERROR(__xludf.DUMMYFUNCTION("""COMPUTED_VALUE"""),0)</f>
        <v>0</v>
      </c>
      <c r="R30" s="39">
        <f ca="1">IFERROR(__xludf.DUMMYFUNCTION("""COMPUTED_VALUE"""),0)</f>
        <v>0</v>
      </c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20.25" customHeight="1" x14ac:dyDescent="0.25">
      <c r="A31" s="5"/>
      <c r="B31" s="35"/>
      <c r="C31" s="36"/>
      <c r="D31" s="37" t="str">
        <f ca="1">IFERROR(__xludf.DUMMYFUNCTION("""COMPUTED_VALUE"""),"College Staff")</f>
        <v>College Staff</v>
      </c>
      <c r="E31" s="36" t="str">
        <f ca="1">IFERROR(__xludf.DUMMYFUNCTION("""COMPUTED_VALUE"""),"Station 7")</f>
        <v>Station 7</v>
      </c>
      <c r="F31" s="36" t="str">
        <f ca="1">IFERROR(__xludf.DUMMYFUNCTION("""COMPUTED_VALUE"""),"Panel 3")</f>
        <v>Panel 3</v>
      </c>
      <c r="G31" s="38">
        <f ca="1">IFERROR(__xludf.DUMMYFUNCTION("""COMPUTED_VALUE"""),0.814838709677419)</f>
        <v>0.814838709677419</v>
      </c>
      <c r="H31" s="38">
        <f ca="1">IFERROR(__xludf.DUMMYFUNCTION("""COMPUTED_VALUE"""),1)</f>
        <v>1</v>
      </c>
      <c r="I31" s="38">
        <f ca="1">IFERROR(__xludf.DUMMYFUNCTION("""COMPUTED_VALUE"""),0.44)</f>
        <v>0.44</v>
      </c>
      <c r="J31" s="39">
        <f ca="1">IFERROR(__xludf.DUMMYFUNCTION("""COMPUTED_VALUE"""),7)</f>
        <v>7</v>
      </c>
      <c r="K31" s="39">
        <f ca="1">IFERROR(__xludf.DUMMYFUNCTION("""COMPUTED_VALUE"""),7)</f>
        <v>7</v>
      </c>
      <c r="L31" s="39">
        <f ca="1">IFERROR(__xludf.DUMMYFUNCTION("""COMPUTED_VALUE"""),28)</f>
        <v>28</v>
      </c>
      <c r="M31" s="39">
        <f ca="1">IFERROR(__xludf.DUMMYFUNCTION("""COMPUTED_VALUE"""),20)</f>
        <v>20</v>
      </c>
      <c r="N31" s="39">
        <f ca="1">IFERROR(__xludf.DUMMYFUNCTION("""COMPUTED_VALUE"""),62)</f>
        <v>62</v>
      </c>
      <c r="O31" s="39">
        <f ca="1">IFERROR(__xludf.DUMMYFUNCTION("""COMPUTED_VALUE"""),26)</f>
        <v>26</v>
      </c>
      <c r="P31" s="39">
        <f ca="1">IFERROR(__xludf.DUMMYFUNCTION("""COMPUTED_VALUE"""),25)</f>
        <v>25</v>
      </c>
      <c r="Q31" s="39">
        <f ca="1">IFERROR(__xludf.DUMMYFUNCTION("""COMPUTED_VALUE"""),11)</f>
        <v>11</v>
      </c>
      <c r="R31" s="39">
        <f ca="1">IFERROR(__xludf.DUMMYFUNCTION("""COMPUTED_VALUE"""),0)</f>
        <v>0</v>
      </c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20.25" customHeight="1" x14ac:dyDescent="0.25">
      <c r="A32" s="5"/>
      <c r="B32" s="35"/>
      <c r="C32" s="36"/>
      <c r="D32" s="37" t="str">
        <f ca="1">IFERROR(__xludf.DUMMYFUNCTION("""COMPUTED_VALUE"""),"Non Academic Staff")</f>
        <v>Non Academic Staff</v>
      </c>
      <c r="E32" s="36" t="str">
        <f ca="1">IFERROR(__xludf.DUMMYFUNCTION("""COMPUTED_VALUE"""),"Station 8")</f>
        <v>Station 8</v>
      </c>
      <c r="F32" s="36" t="str">
        <f ca="1">IFERROR(__xludf.DUMMYFUNCTION("""COMPUTED_VALUE"""),"Panel 3")</f>
        <v>Panel 3</v>
      </c>
      <c r="G32" s="38">
        <f ca="1">IFERROR(__xludf.DUMMYFUNCTION("""COMPUTED_VALUE"""),0.785714285714285)</f>
        <v>0.78571428571428503</v>
      </c>
      <c r="H32" s="38">
        <f ca="1">IFERROR(__xludf.DUMMYFUNCTION("""COMPUTED_VALUE"""),0.942857142857142)</f>
        <v>0.94285714285714195</v>
      </c>
      <c r="I32" s="38">
        <f ca="1">IFERROR(__xludf.DUMMYFUNCTION("""COMPUTED_VALUE"""),0.571428571428571)</f>
        <v>0.57142857142857095</v>
      </c>
      <c r="J32" s="39">
        <f ca="1">IFERROR(__xludf.DUMMYFUNCTION("""COMPUTED_VALUE"""),1)</f>
        <v>1</v>
      </c>
      <c r="K32" s="39">
        <f ca="1">IFERROR(__xludf.DUMMYFUNCTION("""COMPUTED_VALUE"""),6)</f>
        <v>6</v>
      </c>
      <c r="L32" s="39">
        <f ca="1">IFERROR(__xludf.DUMMYFUNCTION("""COMPUTED_VALUE"""),14)</f>
        <v>14</v>
      </c>
      <c r="M32" s="39">
        <f ca="1">IFERROR(__xludf.DUMMYFUNCTION("""COMPUTED_VALUE"""),1)</f>
        <v>1</v>
      </c>
      <c r="N32" s="39">
        <f ca="1">IFERROR(__xludf.DUMMYFUNCTION("""COMPUTED_VALUE"""),22)</f>
        <v>22</v>
      </c>
      <c r="O32" s="39">
        <f ca="1">IFERROR(__xludf.DUMMYFUNCTION("""COMPUTED_VALUE"""),14)</f>
        <v>14</v>
      </c>
      <c r="P32" s="39">
        <f ca="1">IFERROR(__xludf.DUMMYFUNCTION("""COMPUTED_VALUE"""),8)</f>
        <v>8</v>
      </c>
      <c r="Q32" s="39">
        <f ca="1">IFERROR(__xludf.DUMMYFUNCTION("""COMPUTED_VALUE"""),0)</f>
        <v>0</v>
      </c>
      <c r="R32" s="39">
        <f ca="1">IFERROR(__xludf.DUMMYFUNCTION("""COMPUTED_VALUE"""),0)</f>
        <v>0</v>
      </c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20.25" customHeight="1" x14ac:dyDescent="0.25">
      <c r="A33" s="5"/>
      <c r="B33" s="35"/>
      <c r="C33" s="36"/>
      <c r="D33" s="37" t="str">
        <f ca="1">IFERROR(__xludf.DUMMYFUNCTION("""COMPUTED_VALUE"""),"Academic Staff")</f>
        <v>Academic Staff</v>
      </c>
      <c r="E33" s="36" t="str">
        <f ca="1">IFERROR(__xludf.DUMMYFUNCTION("""COMPUTED_VALUE"""),"Station 9")</f>
        <v>Station 9</v>
      </c>
      <c r="F33" s="36" t="str">
        <f ca="1">IFERROR(__xludf.DUMMYFUNCTION("""COMPUTED_VALUE"""),"Panel 3")</f>
        <v>Panel 3</v>
      </c>
      <c r="G33" s="38">
        <f ca="1">IFERROR(__xludf.DUMMYFUNCTION("""COMPUTED_VALUE"""),0.828125)</f>
        <v>0.828125</v>
      </c>
      <c r="H33" s="38">
        <f ca="1">IFERROR(__xludf.DUMMYFUNCTION("""COMPUTED_VALUE"""),0.96875)</f>
        <v>0.96875</v>
      </c>
      <c r="I33" s="38">
        <f ca="1">IFERROR(__xludf.DUMMYFUNCTION("""COMPUTED_VALUE"""),0.65625)</f>
        <v>0.65625</v>
      </c>
      <c r="J33" s="39">
        <f ca="1">IFERROR(__xludf.DUMMYFUNCTION("""COMPUTED_VALUE"""),0)</f>
        <v>0</v>
      </c>
      <c r="K33" s="39">
        <f ca="1">IFERROR(__xludf.DUMMYFUNCTION("""COMPUTED_VALUE"""),3)</f>
        <v>3</v>
      </c>
      <c r="L33" s="39">
        <f ca="1">IFERROR(__xludf.DUMMYFUNCTION("""COMPUTED_VALUE"""),15)</f>
        <v>15</v>
      </c>
      <c r="M33" s="39">
        <f ca="1">IFERROR(__xludf.DUMMYFUNCTION("""COMPUTED_VALUE"""),4)</f>
        <v>4</v>
      </c>
      <c r="N33" s="39">
        <f ca="1">IFERROR(__xludf.DUMMYFUNCTION("""COMPUTED_VALUE"""),22)</f>
        <v>22</v>
      </c>
      <c r="O33" s="39">
        <f ca="1">IFERROR(__xludf.DUMMYFUNCTION("""COMPUTED_VALUE"""),11)</f>
        <v>11</v>
      </c>
      <c r="P33" s="39">
        <f ca="1">IFERROR(__xludf.DUMMYFUNCTION("""COMPUTED_VALUE"""),11)</f>
        <v>11</v>
      </c>
      <c r="Q33" s="39">
        <f ca="1">IFERROR(__xludf.DUMMYFUNCTION("""COMPUTED_VALUE"""),0)</f>
        <v>0</v>
      </c>
      <c r="R33" s="39">
        <f ca="1">IFERROR(__xludf.DUMMYFUNCTION("""COMPUTED_VALUE"""),0)</f>
        <v>0</v>
      </c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20.25" customHeight="1" x14ac:dyDescent="0.25">
      <c r="A34" s="5"/>
      <c r="B34" s="35"/>
      <c r="C34" s="36"/>
      <c r="D34" s="37"/>
      <c r="E34" s="36"/>
      <c r="F34" s="36"/>
      <c r="G34" s="38" t="str">
        <f ca="1">IFERROR(__xludf.DUMMYFUNCTION("""COMPUTED_VALUE"""),"")</f>
        <v/>
      </c>
      <c r="H34" s="38" t="str">
        <f ca="1">IFERROR(__xludf.DUMMYFUNCTION("""COMPUTED_VALUE"""),"")</f>
        <v/>
      </c>
      <c r="I34" s="38" t="str">
        <f ca="1">IFERROR(__xludf.DUMMYFUNCTION("""COMPUTED_VALUE"""),"")</f>
        <v/>
      </c>
      <c r="J34" s="39" t="str">
        <f ca="1">IFERROR(__xludf.DUMMYFUNCTION("""COMPUTED_VALUE"""),"")</f>
        <v/>
      </c>
      <c r="K34" s="39" t="str">
        <f ca="1">IFERROR(__xludf.DUMMYFUNCTION("""COMPUTED_VALUE"""),"")</f>
        <v/>
      </c>
      <c r="L34" s="39" t="str">
        <f ca="1">IFERROR(__xludf.DUMMYFUNCTION("""COMPUTED_VALUE"""),"")</f>
        <v/>
      </c>
      <c r="M34" s="39" t="str">
        <f ca="1">IFERROR(__xludf.DUMMYFUNCTION("""COMPUTED_VALUE"""),"")</f>
        <v/>
      </c>
      <c r="N34" s="39" t="str">
        <f ca="1">IFERROR(__xludf.DUMMYFUNCTION("""COMPUTED_VALUE"""),"")</f>
        <v/>
      </c>
      <c r="O34" s="39" t="str">
        <f ca="1">IFERROR(__xludf.DUMMYFUNCTION("""COMPUTED_VALUE"""),"")</f>
        <v/>
      </c>
      <c r="P34" s="39" t="str">
        <f ca="1">IFERROR(__xludf.DUMMYFUNCTION("""COMPUTED_VALUE"""),"")</f>
        <v/>
      </c>
      <c r="Q34" s="39" t="str">
        <f ca="1">IFERROR(__xludf.DUMMYFUNCTION("""COMPUTED_VALUE"""),"")</f>
        <v/>
      </c>
      <c r="R34" s="39" t="str">
        <f ca="1">IFERROR(__xludf.DUMMYFUNCTION("""COMPUTED_VALUE"""),"")</f>
        <v/>
      </c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20.25" customHeight="1" x14ac:dyDescent="0.25">
      <c r="A35" s="5"/>
      <c r="B35" s="35"/>
      <c r="C35" s="36"/>
      <c r="D35" s="37"/>
      <c r="E35" s="36"/>
      <c r="F35" s="36"/>
      <c r="G35" s="38" t="str">
        <f ca="1">IFERROR(__xludf.DUMMYFUNCTION("""COMPUTED_VALUE"""),"")</f>
        <v/>
      </c>
      <c r="H35" s="38" t="str">
        <f ca="1">IFERROR(__xludf.DUMMYFUNCTION("""COMPUTED_VALUE"""),"")</f>
        <v/>
      </c>
      <c r="I35" s="38" t="str">
        <f ca="1">IFERROR(__xludf.DUMMYFUNCTION("""COMPUTED_VALUE"""),"")</f>
        <v/>
      </c>
      <c r="J35" s="39" t="str">
        <f ca="1">IFERROR(__xludf.DUMMYFUNCTION("""COMPUTED_VALUE"""),"")</f>
        <v/>
      </c>
      <c r="K35" s="39" t="str">
        <f ca="1">IFERROR(__xludf.DUMMYFUNCTION("""COMPUTED_VALUE"""),"")</f>
        <v/>
      </c>
      <c r="L35" s="39" t="str">
        <f ca="1">IFERROR(__xludf.DUMMYFUNCTION("""COMPUTED_VALUE"""),"")</f>
        <v/>
      </c>
      <c r="M35" s="39" t="str">
        <f ca="1">IFERROR(__xludf.DUMMYFUNCTION("""COMPUTED_VALUE"""),"")</f>
        <v/>
      </c>
      <c r="N35" s="39" t="str">
        <f ca="1">IFERROR(__xludf.DUMMYFUNCTION("""COMPUTED_VALUE"""),"")</f>
        <v/>
      </c>
      <c r="O35" s="39" t="str">
        <f ca="1">IFERROR(__xludf.DUMMYFUNCTION("""COMPUTED_VALUE"""),"")</f>
        <v/>
      </c>
      <c r="P35" s="39" t="str">
        <f ca="1">IFERROR(__xludf.DUMMYFUNCTION("""COMPUTED_VALUE"""),"")</f>
        <v/>
      </c>
      <c r="Q35" s="39" t="str">
        <f ca="1">IFERROR(__xludf.DUMMYFUNCTION("""COMPUTED_VALUE"""),"")</f>
        <v/>
      </c>
      <c r="R35" s="39" t="str">
        <f ca="1">IFERROR(__xludf.DUMMYFUNCTION("""COMPUTED_VALUE"""),"")</f>
        <v/>
      </c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20.25" customHeight="1" x14ac:dyDescent="0.25">
      <c r="A36" s="5"/>
      <c r="B36" s="35"/>
      <c r="C36" s="36"/>
      <c r="D36" s="37"/>
      <c r="E36" s="36"/>
      <c r="F36" s="36"/>
      <c r="G36" s="38" t="str">
        <f ca="1">IFERROR(__xludf.DUMMYFUNCTION("""COMPUTED_VALUE"""),"")</f>
        <v/>
      </c>
      <c r="H36" s="38" t="str">
        <f ca="1">IFERROR(__xludf.DUMMYFUNCTION("""COMPUTED_VALUE"""),"")</f>
        <v/>
      </c>
      <c r="I36" s="38" t="str">
        <f ca="1">IFERROR(__xludf.DUMMYFUNCTION("""COMPUTED_VALUE"""),"")</f>
        <v/>
      </c>
      <c r="J36" s="39" t="str">
        <f ca="1">IFERROR(__xludf.DUMMYFUNCTION("""COMPUTED_VALUE"""),"")</f>
        <v/>
      </c>
      <c r="K36" s="39" t="str">
        <f ca="1">IFERROR(__xludf.DUMMYFUNCTION("""COMPUTED_VALUE"""),"")</f>
        <v/>
      </c>
      <c r="L36" s="39" t="str">
        <f ca="1">IFERROR(__xludf.DUMMYFUNCTION("""COMPUTED_VALUE"""),"")</f>
        <v/>
      </c>
      <c r="M36" s="39" t="str">
        <f ca="1">IFERROR(__xludf.DUMMYFUNCTION("""COMPUTED_VALUE"""),"")</f>
        <v/>
      </c>
      <c r="N36" s="39" t="str">
        <f ca="1">IFERROR(__xludf.DUMMYFUNCTION("""COMPUTED_VALUE"""),"")</f>
        <v/>
      </c>
      <c r="O36" s="39" t="str">
        <f ca="1">IFERROR(__xludf.DUMMYFUNCTION("""COMPUTED_VALUE"""),"")</f>
        <v/>
      </c>
      <c r="P36" s="39" t="str">
        <f ca="1">IFERROR(__xludf.DUMMYFUNCTION("""COMPUTED_VALUE"""),"")</f>
        <v/>
      </c>
      <c r="Q36" s="39" t="str">
        <f ca="1">IFERROR(__xludf.DUMMYFUNCTION("""COMPUTED_VALUE"""),"")</f>
        <v/>
      </c>
      <c r="R36" s="39" t="str">
        <f ca="1">IFERROR(__xludf.DUMMYFUNCTION("""COMPUTED_VALUE"""),"")</f>
        <v/>
      </c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20.25" customHeight="1" x14ac:dyDescent="0.25">
      <c r="A37" s="5"/>
      <c r="B37" s="35"/>
      <c r="C37" s="36"/>
      <c r="D37" s="37"/>
      <c r="E37" s="36"/>
      <c r="F37" s="36"/>
      <c r="G37" s="38" t="str">
        <f ca="1">IFERROR(__xludf.DUMMYFUNCTION("""COMPUTED_VALUE"""),"")</f>
        <v/>
      </c>
      <c r="H37" s="38" t="str">
        <f ca="1">IFERROR(__xludf.DUMMYFUNCTION("""COMPUTED_VALUE"""),"")</f>
        <v/>
      </c>
      <c r="I37" s="38" t="str">
        <f ca="1">IFERROR(__xludf.DUMMYFUNCTION("""COMPUTED_VALUE"""),"")</f>
        <v/>
      </c>
      <c r="J37" s="39" t="str">
        <f ca="1">IFERROR(__xludf.DUMMYFUNCTION("""COMPUTED_VALUE"""),"")</f>
        <v/>
      </c>
      <c r="K37" s="39" t="str">
        <f ca="1">IFERROR(__xludf.DUMMYFUNCTION("""COMPUTED_VALUE"""),"")</f>
        <v/>
      </c>
      <c r="L37" s="39" t="str">
        <f ca="1">IFERROR(__xludf.DUMMYFUNCTION("""COMPUTED_VALUE"""),"")</f>
        <v/>
      </c>
      <c r="M37" s="39" t="str">
        <f ca="1">IFERROR(__xludf.DUMMYFUNCTION("""COMPUTED_VALUE"""),"")</f>
        <v/>
      </c>
      <c r="N37" s="39" t="str">
        <f ca="1">IFERROR(__xludf.DUMMYFUNCTION("""COMPUTED_VALUE"""),"")</f>
        <v/>
      </c>
      <c r="O37" s="39" t="str">
        <f ca="1">IFERROR(__xludf.DUMMYFUNCTION("""COMPUTED_VALUE"""),"")</f>
        <v/>
      </c>
      <c r="P37" s="39" t="str">
        <f ca="1">IFERROR(__xludf.DUMMYFUNCTION("""COMPUTED_VALUE"""),"")</f>
        <v/>
      </c>
      <c r="Q37" s="39" t="str">
        <f ca="1">IFERROR(__xludf.DUMMYFUNCTION("""COMPUTED_VALUE"""),"")</f>
        <v/>
      </c>
      <c r="R37" s="39" t="str">
        <f ca="1">IFERROR(__xludf.DUMMYFUNCTION("""COMPUTED_VALUE"""),"")</f>
        <v/>
      </c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20.25" customHeight="1" x14ac:dyDescent="0.25">
      <c r="A38" s="5"/>
      <c r="B38" s="35"/>
      <c r="C38" s="36"/>
      <c r="D38" s="37"/>
      <c r="E38" s="36"/>
      <c r="F38" s="36"/>
      <c r="G38" s="38" t="str">
        <f ca="1">IFERROR(__xludf.DUMMYFUNCTION("""COMPUTED_VALUE"""),"")</f>
        <v/>
      </c>
      <c r="H38" s="38" t="str">
        <f ca="1">IFERROR(__xludf.DUMMYFUNCTION("""COMPUTED_VALUE"""),"")</f>
        <v/>
      </c>
      <c r="I38" s="38" t="str">
        <f ca="1">IFERROR(__xludf.DUMMYFUNCTION("""COMPUTED_VALUE"""),"")</f>
        <v/>
      </c>
      <c r="J38" s="39" t="str">
        <f ca="1">IFERROR(__xludf.DUMMYFUNCTION("""COMPUTED_VALUE"""),"")</f>
        <v/>
      </c>
      <c r="K38" s="39" t="str">
        <f ca="1">IFERROR(__xludf.DUMMYFUNCTION("""COMPUTED_VALUE"""),"")</f>
        <v/>
      </c>
      <c r="L38" s="39" t="str">
        <f ca="1">IFERROR(__xludf.DUMMYFUNCTION("""COMPUTED_VALUE"""),"")</f>
        <v/>
      </c>
      <c r="M38" s="39" t="str">
        <f ca="1">IFERROR(__xludf.DUMMYFUNCTION("""COMPUTED_VALUE"""),"")</f>
        <v/>
      </c>
      <c r="N38" s="39" t="str">
        <f ca="1">IFERROR(__xludf.DUMMYFUNCTION("""COMPUTED_VALUE"""),"")</f>
        <v/>
      </c>
      <c r="O38" s="39" t="str">
        <f ca="1">IFERROR(__xludf.DUMMYFUNCTION("""COMPUTED_VALUE"""),"")</f>
        <v/>
      </c>
      <c r="P38" s="39" t="str">
        <f ca="1">IFERROR(__xludf.DUMMYFUNCTION("""COMPUTED_VALUE"""),"")</f>
        <v/>
      </c>
      <c r="Q38" s="39" t="str">
        <f ca="1">IFERROR(__xludf.DUMMYFUNCTION("""COMPUTED_VALUE"""),"")</f>
        <v/>
      </c>
      <c r="R38" s="39" t="str">
        <f ca="1">IFERROR(__xludf.DUMMYFUNCTION("""COMPUTED_VALUE"""),"")</f>
        <v/>
      </c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20.25" customHeight="1" x14ac:dyDescent="0.25">
      <c r="A39" s="5"/>
      <c r="B39" s="35"/>
      <c r="C39" s="36"/>
      <c r="D39" s="37"/>
      <c r="E39" s="36"/>
      <c r="F39" s="36"/>
      <c r="G39" s="38" t="str">
        <f ca="1">IFERROR(__xludf.DUMMYFUNCTION("""COMPUTED_VALUE"""),"")</f>
        <v/>
      </c>
      <c r="H39" s="38" t="str">
        <f ca="1">IFERROR(__xludf.DUMMYFUNCTION("""COMPUTED_VALUE"""),"")</f>
        <v/>
      </c>
      <c r="I39" s="38" t="str">
        <f ca="1">IFERROR(__xludf.DUMMYFUNCTION("""COMPUTED_VALUE"""),"")</f>
        <v/>
      </c>
      <c r="J39" s="39" t="str">
        <f ca="1">IFERROR(__xludf.DUMMYFUNCTION("""COMPUTED_VALUE"""),"")</f>
        <v/>
      </c>
      <c r="K39" s="39" t="str">
        <f ca="1">IFERROR(__xludf.DUMMYFUNCTION("""COMPUTED_VALUE"""),"")</f>
        <v/>
      </c>
      <c r="L39" s="39" t="str">
        <f ca="1">IFERROR(__xludf.DUMMYFUNCTION("""COMPUTED_VALUE"""),"")</f>
        <v/>
      </c>
      <c r="M39" s="39" t="str">
        <f ca="1">IFERROR(__xludf.DUMMYFUNCTION("""COMPUTED_VALUE"""),"")</f>
        <v/>
      </c>
      <c r="N39" s="39" t="str">
        <f ca="1">IFERROR(__xludf.DUMMYFUNCTION("""COMPUTED_VALUE"""),"")</f>
        <v/>
      </c>
      <c r="O39" s="39" t="str">
        <f ca="1">IFERROR(__xludf.DUMMYFUNCTION("""COMPUTED_VALUE"""),"")</f>
        <v/>
      </c>
      <c r="P39" s="39" t="str">
        <f ca="1">IFERROR(__xludf.DUMMYFUNCTION("""COMPUTED_VALUE"""),"")</f>
        <v/>
      </c>
      <c r="Q39" s="39" t="str">
        <f ca="1">IFERROR(__xludf.DUMMYFUNCTION("""COMPUTED_VALUE"""),"")</f>
        <v/>
      </c>
      <c r="R39" s="39" t="str">
        <f ca="1">IFERROR(__xludf.DUMMYFUNCTION("""COMPUTED_VALUE"""),"")</f>
        <v/>
      </c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20.25" customHeight="1" x14ac:dyDescent="0.25">
      <c r="A40" s="5"/>
      <c r="B40" s="35"/>
      <c r="C40" s="36"/>
      <c r="D40" s="37"/>
      <c r="E40" s="36"/>
      <c r="F40" s="36"/>
      <c r="G40" s="38" t="str">
        <f ca="1">IFERROR(__xludf.DUMMYFUNCTION("""COMPUTED_VALUE"""),"")</f>
        <v/>
      </c>
      <c r="H40" s="38" t="str">
        <f ca="1">IFERROR(__xludf.DUMMYFUNCTION("""COMPUTED_VALUE"""),"")</f>
        <v/>
      </c>
      <c r="I40" s="38" t="str">
        <f ca="1">IFERROR(__xludf.DUMMYFUNCTION("""COMPUTED_VALUE"""),"")</f>
        <v/>
      </c>
      <c r="J40" s="39" t="str">
        <f ca="1">IFERROR(__xludf.DUMMYFUNCTION("""COMPUTED_VALUE"""),"")</f>
        <v/>
      </c>
      <c r="K40" s="39" t="str">
        <f ca="1">IFERROR(__xludf.DUMMYFUNCTION("""COMPUTED_VALUE"""),"")</f>
        <v/>
      </c>
      <c r="L40" s="39" t="str">
        <f ca="1">IFERROR(__xludf.DUMMYFUNCTION("""COMPUTED_VALUE"""),"")</f>
        <v/>
      </c>
      <c r="M40" s="39" t="str">
        <f ca="1">IFERROR(__xludf.DUMMYFUNCTION("""COMPUTED_VALUE"""),"")</f>
        <v/>
      </c>
      <c r="N40" s="39" t="str">
        <f ca="1">IFERROR(__xludf.DUMMYFUNCTION("""COMPUTED_VALUE"""),"")</f>
        <v/>
      </c>
      <c r="O40" s="39" t="str">
        <f ca="1">IFERROR(__xludf.DUMMYFUNCTION("""COMPUTED_VALUE"""),"")</f>
        <v/>
      </c>
      <c r="P40" s="39" t="str">
        <f ca="1">IFERROR(__xludf.DUMMYFUNCTION("""COMPUTED_VALUE"""),"")</f>
        <v/>
      </c>
      <c r="Q40" s="39" t="str">
        <f ca="1">IFERROR(__xludf.DUMMYFUNCTION("""COMPUTED_VALUE"""),"")</f>
        <v/>
      </c>
      <c r="R40" s="39" t="str">
        <f ca="1">IFERROR(__xludf.DUMMYFUNCTION("""COMPUTED_VALUE"""),"")</f>
        <v/>
      </c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20.25" customHeight="1" x14ac:dyDescent="0.25">
      <c r="A41" s="5"/>
      <c r="B41" s="35"/>
      <c r="C41" s="36"/>
      <c r="D41" s="37"/>
      <c r="E41" s="36"/>
      <c r="F41" s="36"/>
      <c r="G41" s="38" t="str">
        <f ca="1">IFERROR(__xludf.DUMMYFUNCTION("""COMPUTED_VALUE"""),"")</f>
        <v/>
      </c>
      <c r="H41" s="38" t="str">
        <f ca="1">IFERROR(__xludf.DUMMYFUNCTION("""COMPUTED_VALUE"""),"")</f>
        <v/>
      </c>
      <c r="I41" s="38" t="str">
        <f ca="1">IFERROR(__xludf.DUMMYFUNCTION("""COMPUTED_VALUE"""),"")</f>
        <v/>
      </c>
      <c r="J41" s="39" t="str">
        <f ca="1">IFERROR(__xludf.DUMMYFUNCTION("""COMPUTED_VALUE"""),"")</f>
        <v/>
      </c>
      <c r="K41" s="39" t="str">
        <f ca="1">IFERROR(__xludf.DUMMYFUNCTION("""COMPUTED_VALUE"""),"")</f>
        <v/>
      </c>
      <c r="L41" s="39" t="str">
        <f ca="1">IFERROR(__xludf.DUMMYFUNCTION("""COMPUTED_VALUE"""),"")</f>
        <v/>
      </c>
      <c r="M41" s="39" t="str">
        <f ca="1">IFERROR(__xludf.DUMMYFUNCTION("""COMPUTED_VALUE"""),"")</f>
        <v/>
      </c>
      <c r="N41" s="39" t="str">
        <f ca="1">IFERROR(__xludf.DUMMYFUNCTION("""COMPUTED_VALUE"""),"")</f>
        <v/>
      </c>
      <c r="O41" s="39" t="str">
        <f ca="1">IFERROR(__xludf.DUMMYFUNCTION("""COMPUTED_VALUE"""),"")</f>
        <v/>
      </c>
      <c r="P41" s="39" t="str">
        <f ca="1">IFERROR(__xludf.DUMMYFUNCTION("""COMPUTED_VALUE"""),"")</f>
        <v/>
      </c>
      <c r="Q41" s="39" t="str">
        <f ca="1">IFERROR(__xludf.DUMMYFUNCTION("""COMPUTED_VALUE"""),"")</f>
        <v/>
      </c>
      <c r="R41" s="39" t="str">
        <f ca="1">IFERROR(__xludf.DUMMYFUNCTION("""COMPUTED_VALUE"""),"")</f>
        <v/>
      </c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20.25" customHeight="1" x14ac:dyDescent="0.25">
      <c r="A42" s="5"/>
      <c r="B42" s="35"/>
      <c r="C42" s="36"/>
      <c r="D42" s="37"/>
      <c r="E42" s="36"/>
      <c r="F42" s="36"/>
      <c r="G42" s="38" t="str">
        <f ca="1">IFERROR(__xludf.DUMMYFUNCTION("""COMPUTED_VALUE"""),"")</f>
        <v/>
      </c>
      <c r="H42" s="38" t="str">
        <f ca="1">IFERROR(__xludf.DUMMYFUNCTION("""COMPUTED_VALUE"""),"")</f>
        <v/>
      </c>
      <c r="I42" s="38" t="str">
        <f ca="1">IFERROR(__xludf.DUMMYFUNCTION("""COMPUTED_VALUE"""),"")</f>
        <v/>
      </c>
      <c r="J42" s="39" t="str">
        <f ca="1">IFERROR(__xludf.DUMMYFUNCTION("""COMPUTED_VALUE"""),"")</f>
        <v/>
      </c>
      <c r="K42" s="39" t="str">
        <f ca="1">IFERROR(__xludf.DUMMYFUNCTION("""COMPUTED_VALUE"""),"")</f>
        <v/>
      </c>
      <c r="L42" s="39" t="str">
        <f ca="1">IFERROR(__xludf.DUMMYFUNCTION("""COMPUTED_VALUE"""),"")</f>
        <v/>
      </c>
      <c r="M42" s="39" t="str">
        <f ca="1">IFERROR(__xludf.DUMMYFUNCTION("""COMPUTED_VALUE"""),"")</f>
        <v/>
      </c>
      <c r="N42" s="39" t="str">
        <f ca="1">IFERROR(__xludf.DUMMYFUNCTION("""COMPUTED_VALUE"""),"")</f>
        <v/>
      </c>
      <c r="O42" s="39" t="str">
        <f ca="1">IFERROR(__xludf.DUMMYFUNCTION("""COMPUTED_VALUE"""),"")</f>
        <v/>
      </c>
      <c r="P42" s="39" t="str">
        <f ca="1">IFERROR(__xludf.DUMMYFUNCTION("""COMPUTED_VALUE"""),"")</f>
        <v/>
      </c>
      <c r="Q42" s="39" t="str">
        <f ca="1">IFERROR(__xludf.DUMMYFUNCTION("""COMPUTED_VALUE"""),"")</f>
        <v/>
      </c>
      <c r="R42" s="39" t="str">
        <f ca="1">IFERROR(__xludf.DUMMYFUNCTION("""COMPUTED_VALUE"""),"")</f>
        <v/>
      </c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20.25" customHeight="1" x14ac:dyDescent="0.25">
      <c r="A43" s="5"/>
      <c r="B43" s="35"/>
      <c r="C43" s="36"/>
      <c r="D43" s="37"/>
      <c r="E43" s="36"/>
      <c r="F43" s="36"/>
      <c r="G43" s="38" t="str">
        <f ca="1">IFERROR(__xludf.DUMMYFUNCTION("""COMPUTED_VALUE"""),"")</f>
        <v/>
      </c>
      <c r="H43" s="38" t="str">
        <f ca="1">IFERROR(__xludf.DUMMYFUNCTION("""COMPUTED_VALUE"""),"")</f>
        <v/>
      </c>
      <c r="I43" s="38" t="str">
        <f ca="1">IFERROR(__xludf.DUMMYFUNCTION("""COMPUTED_VALUE"""),"")</f>
        <v/>
      </c>
      <c r="J43" s="39" t="str">
        <f ca="1">IFERROR(__xludf.DUMMYFUNCTION("""COMPUTED_VALUE"""),"")</f>
        <v/>
      </c>
      <c r="K43" s="39" t="str">
        <f ca="1">IFERROR(__xludf.DUMMYFUNCTION("""COMPUTED_VALUE"""),"")</f>
        <v/>
      </c>
      <c r="L43" s="39" t="str">
        <f ca="1">IFERROR(__xludf.DUMMYFUNCTION("""COMPUTED_VALUE"""),"")</f>
        <v/>
      </c>
      <c r="M43" s="39" t="str">
        <f ca="1">IFERROR(__xludf.DUMMYFUNCTION("""COMPUTED_VALUE"""),"")</f>
        <v/>
      </c>
      <c r="N43" s="39" t="str">
        <f ca="1">IFERROR(__xludf.DUMMYFUNCTION("""COMPUTED_VALUE"""),"")</f>
        <v/>
      </c>
      <c r="O43" s="39" t="str">
        <f ca="1">IFERROR(__xludf.DUMMYFUNCTION("""COMPUTED_VALUE"""),"")</f>
        <v/>
      </c>
      <c r="P43" s="39" t="str">
        <f ca="1">IFERROR(__xludf.DUMMYFUNCTION("""COMPUTED_VALUE"""),"")</f>
        <v/>
      </c>
      <c r="Q43" s="39" t="str">
        <f ca="1">IFERROR(__xludf.DUMMYFUNCTION("""COMPUTED_VALUE"""),"")</f>
        <v/>
      </c>
      <c r="R43" s="39" t="str">
        <f ca="1">IFERROR(__xludf.DUMMYFUNCTION("""COMPUTED_VALUE"""),"")</f>
        <v/>
      </c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20.25" customHeight="1" x14ac:dyDescent="0.25">
      <c r="A44" s="5"/>
      <c r="B44" s="35"/>
      <c r="C44" s="36"/>
      <c r="D44" s="37"/>
      <c r="E44" s="36"/>
      <c r="F44" s="36"/>
      <c r="G44" s="38" t="str">
        <f ca="1">IFERROR(__xludf.DUMMYFUNCTION("""COMPUTED_VALUE"""),"")</f>
        <v/>
      </c>
      <c r="H44" s="38" t="str">
        <f ca="1">IFERROR(__xludf.DUMMYFUNCTION("""COMPUTED_VALUE"""),"")</f>
        <v/>
      </c>
      <c r="I44" s="38" t="str">
        <f ca="1">IFERROR(__xludf.DUMMYFUNCTION("""COMPUTED_VALUE"""),"")</f>
        <v/>
      </c>
      <c r="J44" s="39" t="str">
        <f ca="1">IFERROR(__xludf.DUMMYFUNCTION("""COMPUTED_VALUE"""),"")</f>
        <v/>
      </c>
      <c r="K44" s="39" t="str">
        <f ca="1">IFERROR(__xludf.DUMMYFUNCTION("""COMPUTED_VALUE"""),"")</f>
        <v/>
      </c>
      <c r="L44" s="39" t="str">
        <f ca="1">IFERROR(__xludf.DUMMYFUNCTION("""COMPUTED_VALUE"""),"")</f>
        <v/>
      </c>
      <c r="M44" s="39" t="str">
        <f ca="1">IFERROR(__xludf.DUMMYFUNCTION("""COMPUTED_VALUE"""),"")</f>
        <v/>
      </c>
      <c r="N44" s="39" t="str">
        <f ca="1">IFERROR(__xludf.DUMMYFUNCTION("""COMPUTED_VALUE"""),"")</f>
        <v/>
      </c>
      <c r="O44" s="39" t="str">
        <f ca="1">IFERROR(__xludf.DUMMYFUNCTION("""COMPUTED_VALUE"""),"")</f>
        <v/>
      </c>
      <c r="P44" s="39" t="str">
        <f ca="1">IFERROR(__xludf.DUMMYFUNCTION("""COMPUTED_VALUE"""),"")</f>
        <v/>
      </c>
      <c r="Q44" s="39" t="str">
        <f ca="1">IFERROR(__xludf.DUMMYFUNCTION("""COMPUTED_VALUE"""),"")</f>
        <v/>
      </c>
      <c r="R44" s="39" t="str">
        <f ca="1">IFERROR(__xludf.DUMMYFUNCTION("""COMPUTED_VALUE"""),"")</f>
        <v/>
      </c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20.25" customHeight="1" x14ac:dyDescent="0.25">
      <c r="A45" s="5"/>
      <c r="B45" s="35"/>
      <c r="C45" s="36"/>
      <c r="D45" s="37"/>
      <c r="E45" s="36"/>
      <c r="F45" s="36"/>
      <c r="G45" s="38" t="str">
        <f ca="1">IFERROR(__xludf.DUMMYFUNCTION("""COMPUTED_VALUE"""),"")</f>
        <v/>
      </c>
      <c r="H45" s="38" t="str">
        <f ca="1">IFERROR(__xludf.DUMMYFUNCTION("""COMPUTED_VALUE"""),"")</f>
        <v/>
      </c>
      <c r="I45" s="38" t="str">
        <f ca="1">IFERROR(__xludf.DUMMYFUNCTION("""COMPUTED_VALUE"""),"")</f>
        <v/>
      </c>
      <c r="J45" s="39" t="str">
        <f ca="1">IFERROR(__xludf.DUMMYFUNCTION("""COMPUTED_VALUE"""),"")</f>
        <v/>
      </c>
      <c r="K45" s="39" t="str">
        <f ca="1">IFERROR(__xludf.DUMMYFUNCTION("""COMPUTED_VALUE"""),"")</f>
        <v/>
      </c>
      <c r="L45" s="39" t="str">
        <f ca="1">IFERROR(__xludf.DUMMYFUNCTION("""COMPUTED_VALUE"""),"")</f>
        <v/>
      </c>
      <c r="M45" s="39" t="str">
        <f ca="1">IFERROR(__xludf.DUMMYFUNCTION("""COMPUTED_VALUE"""),"")</f>
        <v/>
      </c>
      <c r="N45" s="39" t="str">
        <f ca="1">IFERROR(__xludf.DUMMYFUNCTION("""COMPUTED_VALUE"""),"")</f>
        <v/>
      </c>
      <c r="O45" s="39" t="str">
        <f ca="1">IFERROR(__xludf.DUMMYFUNCTION("""COMPUTED_VALUE"""),"")</f>
        <v/>
      </c>
      <c r="P45" s="39" t="str">
        <f ca="1">IFERROR(__xludf.DUMMYFUNCTION("""COMPUTED_VALUE"""),"")</f>
        <v/>
      </c>
      <c r="Q45" s="39" t="str">
        <f ca="1">IFERROR(__xludf.DUMMYFUNCTION("""COMPUTED_VALUE"""),"")</f>
        <v/>
      </c>
      <c r="R45" s="39" t="str">
        <f ca="1">IFERROR(__xludf.DUMMYFUNCTION("""COMPUTED_VALUE"""),"")</f>
        <v/>
      </c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20.25" customHeight="1" x14ac:dyDescent="0.25">
      <c r="A46" s="5"/>
      <c r="B46" s="35"/>
      <c r="C46" s="36"/>
      <c r="D46" s="37"/>
      <c r="E46" s="36"/>
      <c r="F46" s="36"/>
      <c r="G46" s="38" t="str">
        <f ca="1">IFERROR(__xludf.DUMMYFUNCTION("""COMPUTED_VALUE"""),"")</f>
        <v/>
      </c>
      <c r="H46" s="38" t="str">
        <f ca="1">IFERROR(__xludf.DUMMYFUNCTION("""COMPUTED_VALUE"""),"")</f>
        <v/>
      </c>
      <c r="I46" s="38" t="str">
        <f ca="1">IFERROR(__xludf.DUMMYFUNCTION("""COMPUTED_VALUE"""),"")</f>
        <v/>
      </c>
      <c r="J46" s="39" t="str">
        <f ca="1">IFERROR(__xludf.DUMMYFUNCTION("""COMPUTED_VALUE"""),"")</f>
        <v/>
      </c>
      <c r="K46" s="39" t="str">
        <f ca="1">IFERROR(__xludf.DUMMYFUNCTION("""COMPUTED_VALUE"""),"")</f>
        <v/>
      </c>
      <c r="L46" s="39" t="str">
        <f ca="1">IFERROR(__xludf.DUMMYFUNCTION("""COMPUTED_VALUE"""),"")</f>
        <v/>
      </c>
      <c r="M46" s="39" t="str">
        <f ca="1">IFERROR(__xludf.DUMMYFUNCTION("""COMPUTED_VALUE"""),"")</f>
        <v/>
      </c>
      <c r="N46" s="39" t="str">
        <f ca="1">IFERROR(__xludf.DUMMYFUNCTION("""COMPUTED_VALUE"""),"")</f>
        <v/>
      </c>
      <c r="O46" s="39" t="str">
        <f ca="1">IFERROR(__xludf.DUMMYFUNCTION("""COMPUTED_VALUE"""),"")</f>
        <v/>
      </c>
      <c r="P46" s="39" t="str">
        <f ca="1">IFERROR(__xludf.DUMMYFUNCTION("""COMPUTED_VALUE"""),"")</f>
        <v/>
      </c>
      <c r="Q46" s="39" t="str">
        <f ca="1">IFERROR(__xludf.DUMMYFUNCTION("""COMPUTED_VALUE"""),"")</f>
        <v/>
      </c>
      <c r="R46" s="39" t="str">
        <f ca="1">IFERROR(__xludf.DUMMYFUNCTION("""COMPUTED_VALUE"""),"")</f>
        <v/>
      </c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20.25" customHeight="1" x14ac:dyDescent="0.25">
      <c r="A47" s="5"/>
      <c r="B47" s="35"/>
      <c r="C47" s="36"/>
      <c r="D47" s="37"/>
      <c r="E47" s="36"/>
      <c r="F47" s="36"/>
      <c r="G47" s="38" t="str">
        <f ca="1">IFERROR(__xludf.DUMMYFUNCTION("""COMPUTED_VALUE"""),"")</f>
        <v/>
      </c>
      <c r="H47" s="38" t="str">
        <f ca="1">IFERROR(__xludf.DUMMYFUNCTION("""COMPUTED_VALUE"""),"")</f>
        <v/>
      </c>
      <c r="I47" s="38" t="str">
        <f ca="1">IFERROR(__xludf.DUMMYFUNCTION("""COMPUTED_VALUE"""),"")</f>
        <v/>
      </c>
      <c r="J47" s="39" t="str">
        <f ca="1">IFERROR(__xludf.DUMMYFUNCTION("""COMPUTED_VALUE"""),"")</f>
        <v/>
      </c>
      <c r="K47" s="39" t="str">
        <f ca="1">IFERROR(__xludf.DUMMYFUNCTION("""COMPUTED_VALUE"""),"")</f>
        <v/>
      </c>
      <c r="L47" s="39" t="str">
        <f ca="1">IFERROR(__xludf.DUMMYFUNCTION("""COMPUTED_VALUE"""),"")</f>
        <v/>
      </c>
      <c r="M47" s="39" t="str">
        <f ca="1">IFERROR(__xludf.DUMMYFUNCTION("""COMPUTED_VALUE"""),"")</f>
        <v/>
      </c>
      <c r="N47" s="39" t="str">
        <f ca="1">IFERROR(__xludf.DUMMYFUNCTION("""COMPUTED_VALUE"""),"")</f>
        <v/>
      </c>
      <c r="O47" s="39" t="str">
        <f ca="1">IFERROR(__xludf.DUMMYFUNCTION("""COMPUTED_VALUE"""),"")</f>
        <v/>
      </c>
      <c r="P47" s="39" t="str">
        <f ca="1">IFERROR(__xludf.DUMMYFUNCTION("""COMPUTED_VALUE"""),"")</f>
        <v/>
      </c>
      <c r="Q47" s="39" t="str">
        <f ca="1">IFERROR(__xludf.DUMMYFUNCTION("""COMPUTED_VALUE"""),"")</f>
        <v/>
      </c>
      <c r="R47" s="39" t="str">
        <f ca="1">IFERROR(__xludf.DUMMYFUNCTION("""COMPUTED_VALUE"""),"")</f>
        <v/>
      </c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20.25" customHeight="1" x14ac:dyDescent="0.25">
      <c r="A48" s="5"/>
      <c r="B48" s="35"/>
      <c r="C48" s="36"/>
      <c r="D48" s="37"/>
      <c r="E48" s="36"/>
      <c r="F48" s="36"/>
      <c r="G48" s="38" t="str">
        <f ca="1">IFERROR(__xludf.DUMMYFUNCTION("""COMPUTED_VALUE"""),"")</f>
        <v/>
      </c>
      <c r="H48" s="38" t="str">
        <f ca="1">IFERROR(__xludf.DUMMYFUNCTION("""COMPUTED_VALUE"""),"")</f>
        <v/>
      </c>
      <c r="I48" s="38" t="str">
        <f ca="1">IFERROR(__xludf.DUMMYFUNCTION("""COMPUTED_VALUE"""),"")</f>
        <v/>
      </c>
      <c r="J48" s="39" t="str">
        <f ca="1">IFERROR(__xludf.DUMMYFUNCTION("""COMPUTED_VALUE"""),"")</f>
        <v/>
      </c>
      <c r="K48" s="39" t="str">
        <f ca="1">IFERROR(__xludf.DUMMYFUNCTION("""COMPUTED_VALUE"""),"")</f>
        <v/>
      </c>
      <c r="L48" s="39" t="str">
        <f ca="1">IFERROR(__xludf.DUMMYFUNCTION("""COMPUTED_VALUE"""),"")</f>
        <v/>
      </c>
      <c r="M48" s="39" t="str">
        <f ca="1">IFERROR(__xludf.DUMMYFUNCTION("""COMPUTED_VALUE"""),"")</f>
        <v/>
      </c>
      <c r="N48" s="39" t="str">
        <f ca="1">IFERROR(__xludf.DUMMYFUNCTION("""COMPUTED_VALUE"""),"")</f>
        <v/>
      </c>
      <c r="O48" s="39" t="str">
        <f ca="1">IFERROR(__xludf.DUMMYFUNCTION("""COMPUTED_VALUE"""),"")</f>
        <v/>
      </c>
      <c r="P48" s="39" t="str">
        <f ca="1">IFERROR(__xludf.DUMMYFUNCTION("""COMPUTED_VALUE"""),"")</f>
        <v/>
      </c>
      <c r="Q48" s="39" t="str">
        <f ca="1">IFERROR(__xludf.DUMMYFUNCTION("""COMPUTED_VALUE"""),"")</f>
        <v/>
      </c>
      <c r="R48" s="39" t="str">
        <f ca="1">IFERROR(__xludf.DUMMYFUNCTION("""COMPUTED_VALUE"""),"")</f>
        <v/>
      </c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20.25" customHeight="1" x14ac:dyDescent="0.25">
      <c r="A49" s="5"/>
      <c r="B49" s="35"/>
      <c r="C49" s="36"/>
      <c r="D49" s="37"/>
      <c r="E49" s="36"/>
      <c r="F49" s="36"/>
      <c r="G49" s="38" t="str">
        <f ca="1">IFERROR(__xludf.DUMMYFUNCTION("""COMPUTED_VALUE"""),"")</f>
        <v/>
      </c>
      <c r="H49" s="38" t="str">
        <f ca="1">IFERROR(__xludf.DUMMYFUNCTION("""COMPUTED_VALUE"""),"")</f>
        <v/>
      </c>
      <c r="I49" s="38" t="str">
        <f ca="1">IFERROR(__xludf.DUMMYFUNCTION("""COMPUTED_VALUE"""),"")</f>
        <v/>
      </c>
      <c r="J49" s="39" t="str">
        <f ca="1">IFERROR(__xludf.DUMMYFUNCTION("""COMPUTED_VALUE"""),"")</f>
        <v/>
      </c>
      <c r="K49" s="39" t="str">
        <f ca="1">IFERROR(__xludf.DUMMYFUNCTION("""COMPUTED_VALUE"""),"")</f>
        <v/>
      </c>
      <c r="L49" s="39" t="str">
        <f ca="1">IFERROR(__xludf.DUMMYFUNCTION("""COMPUTED_VALUE"""),"")</f>
        <v/>
      </c>
      <c r="M49" s="39" t="str">
        <f ca="1">IFERROR(__xludf.DUMMYFUNCTION("""COMPUTED_VALUE"""),"")</f>
        <v/>
      </c>
      <c r="N49" s="39" t="str">
        <f ca="1">IFERROR(__xludf.DUMMYFUNCTION("""COMPUTED_VALUE"""),"")</f>
        <v/>
      </c>
      <c r="O49" s="39" t="str">
        <f ca="1">IFERROR(__xludf.DUMMYFUNCTION("""COMPUTED_VALUE"""),"")</f>
        <v/>
      </c>
      <c r="P49" s="39" t="str">
        <f ca="1">IFERROR(__xludf.DUMMYFUNCTION("""COMPUTED_VALUE"""),"")</f>
        <v/>
      </c>
      <c r="Q49" s="39" t="str">
        <f ca="1">IFERROR(__xludf.DUMMYFUNCTION("""COMPUTED_VALUE"""),"")</f>
        <v/>
      </c>
      <c r="R49" s="39" t="str">
        <f ca="1">IFERROR(__xludf.DUMMYFUNCTION("""COMPUTED_VALUE"""),"")</f>
        <v/>
      </c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20.25" customHeight="1" x14ac:dyDescent="0.25">
      <c r="A50" s="5"/>
      <c r="B50" s="35"/>
      <c r="C50" s="36"/>
      <c r="D50" s="37"/>
      <c r="E50" s="36"/>
      <c r="F50" s="36"/>
      <c r="G50" s="38" t="str">
        <f ca="1">IFERROR(__xludf.DUMMYFUNCTION("""COMPUTED_VALUE"""),"")</f>
        <v/>
      </c>
      <c r="H50" s="38" t="str">
        <f ca="1">IFERROR(__xludf.DUMMYFUNCTION("""COMPUTED_VALUE"""),"")</f>
        <v/>
      </c>
      <c r="I50" s="38" t="str">
        <f ca="1">IFERROR(__xludf.DUMMYFUNCTION("""COMPUTED_VALUE"""),"")</f>
        <v/>
      </c>
      <c r="J50" s="39" t="str">
        <f ca="1">IFERROR(__xludf.DUMMYFUNCTION("""COMPUTED_VALUE"""),"")</f>
        <v/>
      </c>
      <c r="K50" s="39" t="str">
        <f ca="1">IFERROR(__xludf.DUMMYFUNCTION("""COMPUTED_VALUE"""),"")</f>
        <v/>
      </c>
      <c r="L50" s="39" t="str">
        <f ca="1">IFERROR(__xludf.DUMMYFUNCTION("""COMPUTED_VALUE"""),"")</f>
        <v/>
      </c>
      <c r="M50" s="39" t="str">
        <f ca="1">IFERROR(__xludf.DUMMYFUNCTION("""COMPUTED_VALUE"""),"")</f>
        <v/>
      </c>
      <c r="N50" s="39" t="str">
        <f ca="1">IFERROR(__xludf.DUMMYFUNCTION("""COMPUTED_VALUE"""),"")</f>
        <v/>
      </c>
      <c r="O50" s="39" t="str">
        <f ca="1">IFERROR(__xludf.DUMMYFUNCTION("""COMPUTED_VALUE"""),"")</f>
        <v/>
      </c>
      <c r="P50" s="39" t="str">
        <f ca="1">IFERROR(__xludf.DUMMYFUNCTION("""COMPUTED_VALUE"""),"")</f>
        <v/>
      </c>
      <c r="Q50" s="39" t="str">
        <f ca="1">IFERROR(__xludf.DUMMYFUNCTION("""COMPUTED_VALUE"""),"")</f>
        <v/>
      </c>
      <c r="R50" s="39" t="str">
        <f ca="1">IFERROR(__xludf.DUMMYFUNCTION("""COMPUTED_VALUE"""),"")</f>
        <v/>
      </c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20.25" customHeight="1" x14ac:dyDescent="0.25">
      <c r="A51" s="5"/>
      <c r="B51" s="35"/>
      <c r="C51" s="36"/>
      <c r="D51" s="37"/>
      <c r="E51" s="36"/>
      <c r="F51" s="36"/>
      <c r="G51" s="38" t="str">
        <f ca="1">IFERROR(__xludf.DUMMYFUNCTION("""COMPUTED_VALUE"""),"")</f>
        <v/>
      </c>
      <c r="H51" s="38" t="str">
        <f ca="1">IFERROR(__xludf.DUMMYFUNCTION("""COMPUTED_VALUE"""),"")</f>
        <v/>
      </c>
      <c r="I51" s="38" t="str">
        <f ca="1">IFERROR(__xludf.DUMMYFUNCTION("""COMPUTED_VALUE"""),"")</f>
        <v/>
      </c>
      <c r="J51" s="39" t="str">
        <f ca="1">IFERROR(__xludf.DUMMYFUNCTION("""COMPUTED_VALUE"""),"")</f>
        <v/>
      </c>
      <c r="K51" s="39" t="str">
        <f ca="1">IFERROR(__xludf.DUMMYFUNCTION("""COMPUTED_VALUE"""),"")</f>
        <v/>
      </c>
      <c r="L51" s="39" t="str">
        <f ca="1">IFERROR(__xludf.DUMMYFUNCTION("""COMPUTED_VALUE"""),"")</f>
        <v/>
      </c>
      <c r="M51" s="39" t="str">
        <f ca="1">IFERROR(__xludf.DUMMYFUNCTION("""COMPUTED_VALUE"""),"")</f>
        <v/>
      </c>
      <c r="N51" s="39" t="str">
        <f ca="1">IFERROR(__xludf.DUMMYFUNCTION("""COMPUTED_VALUE"""),"")</f>
        <v/>
      </c>
      <c r="O51" s="39" t="str">
        <f ca="1">IFERROR(__xludf.DUMMYFUNCTION("""COMPUTED_VALUE"""),"")</f>
        <v/>
      </c>
      <c r="P51" s="39" t="str">
        <f ca="1">IFERROR(__xludf.DUMMYFUNCTION("""COMPUTED_VALUE"""),"")</f>
        <v/>
      </c>
      <c r="Q51" s="39" t="str">
        <f ca="1">IFERROR(__xludf.DUMMYFUNCTION("""COMPUTED_VALUE"""),"")</f>
        <v/>
      </c>
      <c r="R51" s="39" t="str">
        <f ca="1">IFERROR(__xludf.DUMMYFUNCTION("""COMPUTED_VALUE"""),"")</f>
        <v/>
      </c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20.25" customHeight="1" x14ac:dyDescent="0.25">
      <c r="A52" s="5"/>
      <c r="B52" s="35"/>
      <c r="C52" s="36"/>
      <c r="D52" s="37"/>
      <c r="E52" s="36"/>
      <c r="F52" s="36"/>
      <c r="G52" s="38" t="str">
        <f ca="1">IFERROR(__xludf.DUMMYFUNCTION("""COMPUTED_VALUE"""),"")</f>
        <v/>
      </c>
      <c r="H52" s="38" t="str">
        <f ca="1">IFERROR(__xludf.DUMMYFUNCTION("""COMPUTED_VALUE"""),"")</f>
        <v/>
      </c>
      <c r="I52" s="38" t="str">
        <f ca="1">IFERROR(__xludf.DUMMYFUNCTION("""COMPUTED_VALUE"""),"")</f>
        <v/>
      </c>
      <c r="J52" s="39" t="str">
        <f ca="1">IFERROR(__xludf.DUMMYFUNCTION("""COMPUTED_VALUE"""),"")</f>
        <v/>
      </c>
      <c r="K52" s="39" t="str">
        <f ca="1">IFERROR(__xludf.DUMMYFUNCTION("""COMPUTED_VALUE"""),"")</f>
        <v/>
      </c>
      <c r="L52" s="39" t="str">
        <f ca="1">IFERROR(__xludf.DUMMYFUNCTION("""COMPUTED_VALUE"""),"")</f>
        <v/>
      </c>
      <c r="M52" s="39" t="str">
        <f ca="1">IFERROR(__xludf.DUMMYFUNCTION("""COMPUTED_VALUE"""),"")</f>
        <v/>
      </c>
      <c r="N52" s="39" t="str">
        <f ca="1">IFERROR(__xludf.DUMMYFUNCTION("""COMPUTED_VALUE"""),"")</f>
        <v/>
      </c>
      <c r="O52" s="39" t="str">
        <f ca="1">IFERROR(__xludf.DUMMYFUNCTION("""COMPUTED_VALUE"""),"")</f>
        <v/>
      </c>
      <c r="P52" s="39" t="str">
        <f ca="1">IFERROR(__xludf.DUMMYFUNCTION("""COMPUTED_VALUE"""),"")</f>
        <v/>
      </c>
      <c r="Q52" s="39" t="str">
        <f ca="1">IFERROR(__xludf.DUMMYFUNCTION("""COMPUTED_VALUE"""),"")</f>
        <v/>
      </c>
      <c r="R52" s="39" t="str">
        <f ca="1">IFERROR(__xludf.DUMMYFUNCTION("""COMPUTED_VALUE"""),"")</f>
        <v/>
      </c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20.25" customHeight="1" x14ac:dyDescent="0.25">
      <c r="A53" s="5"/>
      <c r="B53" s="35"/>
      <c r="C53" s="36"/>
      <c r="D53" s="37"/>
      <c r="E53" s="36"/>
      <c r="F53" s="36"/>
      <c r="G53" s="38" t="str">
        <f ca="1">IFERROR(__xludf.DUMMYFUNCTION("""COMPUTED_VALUE"""),"")</f>
        <v/>
      </c>
      <c r="H53" s="38" t="str">
        <f ca="1">IFERROR(__xludf.DUMMYFUNCTION("""COMPUTED_VALUE"""),"")</f>
        <v/>
      </c>
      <c r="I53" s="38" t="str">
        <f ca="1">IFERROR(__xludf.DUMMYFUNCTION("""COMPUTED_VALUE"""),"")</f>
        <v/>
      </c>
      <c r="J53" s="39" t="str">
        <f ca="1">IFERROR(__xludf.DUMMYFUNCTION("""COMPUTED_VALUE"""),"")</f>
        <v/>
      </c>
      <c r="K53" s="39" t="str">
        <f ca="1">IFERROR(__xludf.DUMMYFUNCTION("""COMPUTED_VALUE"""),"")</f>
        <v/>
      </c>
      <c r="L53" s="39" t="str">
        <f ca="1">IFERROR(__xludf.DUMMYFUNCTION("""COMPUTED_VALUE"""),"")</f>
        <v/>
      </c>
      <c r="M53" s="39" t="str">
        <f ca="1">IFERROR(__xludf.DUMMYFUNCTION("""COMPUTED_VALUE"""),"")</f>
        <v/>
      </c>
      <c r="N53" s="39" t="str">
        <f ca="1">IFERROR(__xludf.DUMMYFUNCTION("""COMPUTED_VALUE"""),"")</f>
        <v/>
      </c>
      <c r="O53" s="39" t="str">
        <f ca="1">IFERROR(__xludf.DUMMYFUNCTION("""COMPUTED_VALUE"""),"")</f>
        <v/>
      </c>
      <c r="P53" s="39" t="str">
        <f ca="1">IFERROR(__xludf.DUMMYFUNCTION("""COMPUTED_VALUE"""),"")</f>
        <v/>
      </c>
      <c r="Q53" s="39" t="str">
        <f ca="1">IFERROR(__xludf.DUMMYFUNCTION("""COMPUTED_VALUE"""),"")</f>
        <v/>
      </c>
      <c r="R53" s="39" t="str">
        <f ca="1">IFERROR(__xludf.DUMMYFUNCTION("""COMPUTED_VALUE"""),"")</f>
        <v/>
      </c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20.25" customHeight="1" x14ac:dyDescent="0.25">
      <c r="A54" s="5"/>
      <c r="B54" s="35"/>
      <c r="C54" s="36"/>
      <c r="D54" s="37"/>
      <c r="E54" s="36"/>
      <c r="F54" s="36"/>
      <c r="G54" s="38" t="str">
        <f ca="1">IFERROR(__xludf.DUMMYFUNCTION("""COMPUTED_VALUE"""),"")</f>
        <v/>
      </c>
      <c r="H54" s="38" t="str">
        <f ca="1">IFERROR(__xludf.DUMMYFUNCTION("""COMPUTED_VALUE"""),"")</f>
        <v/>
      </c>
      <c r="I54" s="38" t="str">
        <f ca="1">IFERROR(__xludf.DUMMYFUNCTION("""COMPUTED_VALUE"""),"")</f>
        <v/>
      </c>
      <c r="J54" s="39" t="str">
        <f ca="1">IFERROR(__xludf.DUMMYFUNCTION("""COMPUTED_VALUE"""),"")</f>
        <v/>
      </c>
      <c r="K54" s="39" t="str">
        <f ca="1">IFERROR(__xludf.DUMMYFUNCTION("""COMPUTED_VALUE"""),"")</f>
        <v/>
      </c>
      <c r="L54" s="39" t="str">
        <f ca="1">IFERROR(__xludf.DUMMYFUNCTION("""COMPUTED_VALUE"""),"")</f>
        <v/>
      </c>
      <c r="M54" s="39" t="str">
        <f ca="1">IFERROR(__xludf.DUMMYFUNCTION("""COMPUTED_VALUE"""),"")</f>
        <v/>
      </c>
      <c r="N54" s="39" t="str">
        <f ca="1">IFERROR(__xludf.DUMMYFUNCTION("""COMPUTED_VALUE"""),"")</f>
        <v/>
      </c>
      <c r="O54" s="39" t="str">
        <f ca="1">IFERROR(__xludf.DUMMYFUNCTION("""COMPUTED_VALUE"""),"")</f>
        <v/>
      </c>
      <c r="P54" s="39" t="str">
        <f ca="1">IFERROR(__xludf.DUMMYFUNCTION("""COMPUTED_VALUE"""),"")</f>
        <v/>
      </c>
      <c r="Q54" s="39" t="str">
        <f ca="1">IFERROR(__xludf.DUMMYFUNCTION("""COMPUTED_VALUE"""),"")</f>
        <v/>
      </c>
      <c r="R54" s="39" t="str">
        <f ca="1">IFERROR(__xludf.DUMMYFUNCTION("""COMPUTED_VALUE"""),"")</f>
        <v/>
      </c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20.25" customHeight="1" x14ac:dyDescent="0.25">
      <c r="A55" s="5"/>
      <c r="B55" s="35"/>
      <c r="C55" s="36"/>
      <c r="D55" s="37"/>
      <c r="E55" s="36"/>
      <c r="F55" s="36"/>
      <c r="G55" s="38" t="str">
        <f ca="1">IFERROR(__xludf.DUMMYFUNCTION("""COMPUTED_VALUE"""),"")</f>
        <v/>
      </c>
      <c r="H55" s="38" t="str">
        <f ca="1">IFERROR(__xludf.DUMMYFUNCTION("""COMPUTED_VALUE"""),"")</f>
        <v/>
      </c>
      <c r="I55" s="38" t="str">
        <f ca="1">IFERROR(__xludf.DUMMYFUNCTION("""COMPUTED_VALUE"""),"")</f>
        <v/>
      </c>
      <c r="J55" s="39" t="str">
        <f ca="1">IFERROR(__xludf.DUMMYFUNCTION("""COMPUTED_VALUE"""),"")</f>
        <v/>
      </c>
      <c r="K55" s="39" t="str">
        <f ca="1">IFERROR(__xludf.DUMMYFUNCTION("""COMPUTED_VALUE"""),"")</f>
        <v/>
      </c>
      <c r="L55" s="39" t="str">
        <f ca="1">IFERROR(__xludf.DUMMYFUNCTION("""COMPUTED_VALUE"""),"")</f>
        <v/>
      </c>
      <c r="M55" s="39" t="str">
        <f ca="1">IFERROR(__xludf.DUMMYFUNCTION("""COMPUTED_VALUE"""),"")</f>
        <v/>
      </c>
      <c r="N55" s="39" t="str">
        <f ca="1">IFERROR(__xludf.DUMMYFUNCTION("""COMPUTED_VALUE"""),"")</f>
        <v/>
      </c>
      <c r="O55" s="39" t="str">
        <f ca="1">IFERROR(__xludf.DUMMYFUNCTION("""COMPUTED_VALUE"""),"")</f>
        <v/>
      </c>
      <c r="P55" s="39" t="str">
        <f ca="1">IFERROR(__xludf.DUMMYFUNCTION("""COMPUTED_VALUE"""),"")</f>
        <v/>
      </c>
      <c r="Q55" s="39" t="str">
        <f ca="1">IFERROR(__xludf.DUMMYFUNCTION("""COMPUTED_VALUE"""),"")</f>
        <v/>
      </c>
      <c r="R55" s="39" t="str">
        <f ca="1">IFERROR(__xludf.DUMMYFUNCTION("""COMPUTED_VALUE"""),"")</f>
        <v/>
      </c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20.25" customHeight="1" x14ac:dyDescent="0.25">
      <c r="A56" s="5"/>
      <c r="B56" s="35"/>
      <c r="C56" s="36"/>
      <c r="D56" s="37"/>
      <c r="E56" s="36"/>
      <c r="F56" s="36"/>
      <c r="G56" s="38" t="str">
        <f ca="1">IFERROR(__xludf.DUMMYFUNCTION("""COMPUTED_VALUE"""),"")</f>
        <v/>
      </c>
      <c r="H56" s="38" t="str">
        <f ca="1">IFERROR(__xludf.DUMMYFUNCTION("""COMPUTED_VALUE"""),"")</f>
        <v/>
      </c>
      <c r="I56" s="38" t="str">
        <f ca="1">IFERROR(__xludf.DUMMYFUNCTION("""COMPUTED_VALUE"""),"")</f>
        <v/>
      </c>
      <c r="J56" s="39" t="str">
        <f ca="1">IFERROR(__xludf.DUMMYFUNCTION("""COMPUTED_VALUE"""),"")</f>
        <v/>
      </c>
      <c r="K56" s="39" t="str">
        <f ca="1">IFERROR(__xludf.DUMMYFUNCTION("""COMPUTED_VALUE"""),"")</f>
        <v/>
      </c>
      <c r="L56" s="39" t="str">
        <f ca="1">IFERROR(__xludf.DUMMYFUNCTION("""COMPUTED_VALUE"""),"")</f>
        <v/>
      </c>
      <c r="M56" s="39" t="str">
        <f ca="1">IFERROR(__xludf.DUMMYFUNCTION("""COMPUTED_VALUE"""),"")</f>
        <v/>
      </c>
      <c r="N56" s="39" t="str">
        <f ca="1">IFERROR(__xludf.DUMMYFUNCTION("""COMPUTED_VALUE"""),"")</f>
        <v/>
      </c>
      <c r="O56" s="39" t="str">
        <f ca="1">IFERROR(__xludf.DUMMYFUNCTION("""COMPUTED_VALUE"""),"")</f>
        <v/>
      </c>
      <c r="P56" s="39" t="str">
        <f ca="1">IFERROR(__xludf.DUMMYFUNCTION("""COMPUTED_VALUE"""),"")</f>
        <v/>
      </c>
      <c r="Q56" s="39" t="str">
        <f ca="1">IFERROR(__xludf.DUMMYFUNCTION("""COMPUTED_VALUE"""),"")</f>
        <v/>
      </c>
      <c r="R56" s="39" t="str">
        <f ca="1">IFERROR(__xludf.DUMMYFUNCTION("""COMPUTED_VALUE"""),"")</f>
        <v/>
      </c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20.25" customHeight="1" x14ac:dyDescent="0.25">
      <c r="A57" s="5"/>
      <c r="B57" s="35"/>
      <c r="C57" s="36"/>
      <c r="D57" s="37"/>
      <c r="E57" s="36"/>
      <c r="F57" s="36"/>
      <c r="G57" s="38" t="str">
        <f ca="1">IFERROR(__xludf.DUMMYFUNCTION("""COMPUTED_VALUE"""),"")</f>
        <v/>
      </c>
      <c r="H57" s="38" t="str">
        <f ca="1">IFERROR(__xludf.DUMMYFUNCTION("""COMPUTED_VALUE"""),"")</f>
        <v/>
      </c>
      <c r="I57" s="38" t="str">
        <f ca="1">IFERROR(__xludf.DUMMYFUNCTION("""COMPUTED_VALUE"""),"")</f>
        <v/>
      </c>
      <c r="J57" s="39" t="str">
        <f ca="1">IFERROR(__xludf.DUMMYFUNCTION("""COMPUTED_VALUE"""),"")</f>
        <v/>
      </c>
      <c r="K57" s="39" t="str">
        <f ca="1">IFERROR(__xludf.DUMMYFUNCTION("""COMPUTED_VALUE"""),"")</f>
        <v/>
      </c>
      <c r="L57" s="39" t="str">
        <f ca="1">IFERROR(__xludf.DUMMYFUNCTION("""COMPUTED_VALUE"""),"")</f>
        <v/>
      </c>
      <c r="M57" s="39" t="str">
        <f ca="1">IFERROR(__xludf.DUMMYFUNCTION("""COMPUTED_VALUE"""),"")</f>
        <v/>
      </c>
      <c r="N57" s="39" t="str">
        <f ca="1">IFERROR(__xludf.DUMMYFUNCTION("""COMPUTED_VALUE"""),"")</f>
        <v/>
      </c>
      <c r="O57" s="39" t="str">
        <f ca="1">IFERROR(__xludf.DUMMYFUNCTION("""COMPUTED_VALUE"""),"")</f>
        <v/>
      </c>
      <c r="P57" s="39" t="str">
        <f ca="1">IFERROR(__xludf.DUMMYFUNCTION("""COMPUTED_VALUE"""),"")</f>
        <v/>
      </c>
      <c r="Q57" s="39" t="str">
        <f ca="1">IFERROR(__xludf.DUMMYFUNCTION("""COMPUTED_VALUE"""),"")</f>
        <v/>
      </c>
      <c r="R57" s="39" t="str">
        <f ca="1">IFERROR(__xludf.DUMMYFUNCTION("""COMPUTED_VALUE"""),"")</f>
        <v/>
      </c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20.25" customHeight="1" x14ac:dyDescent="0.25">
      <c r="A58" s="5"/>
      <c r="B58" s="35"/>
      <c r="C58" s="36"/>
      <c r="D58" s="37"/>
      <c r="E58" s="36"/>
      <c r="F58" s="36"/>
      <c r="G58" s="38" t="str">
        <f ca="1">IFERROR(__xludf.DUMMYFUNCTION("""COMPUTED_VALUE"""),"")</f>
        <v/>
      </c>
      <c r="H58" s="38" t="str">
        <f ca="1">IFERROR(__xludf.DUMMYFUNCTION("""COMPUTED_VALUE"""),"")</f>
        <v/>
      </c>
      <c r="I58" s="38" t="str">
        <f ca="1">IFERROR(__xludf.DUMMYFUNCTION("""COMPUTED_VALUE"""),"")</f>
        <v/>
      </c>
      <c r="J58" s="39" t="str">
        <f ca="1">IFERROR(__xludf.DUMMYFUNCTION("""COMPUTED_VALUE"""),"")</f>
        <v/>
      </c>
      <c r="K58" s="39" t="str">
        <f ca="1">IFERROR(__xludf.DUMMYFUNCTION("""COMPUTED_VALUE"""),"")</f>
        <v/>
      </c>
      <c r="L58" s="39" t="str">
        <f ca="1">IFERROR(__xludf.DUMMYFUNCTION("""COMPUTED_VALUE"""),"")</f>
        <v/>
      </c>
      <c r="M58" s="39" t="str">
        <f ca="1">IFERROR(__xludf.DUMMYFUNCTION("""COMPUTED_VALUE"""),"")</f>
        <v/>
      </c>
      <c r="N58" s="39" t="str">
        <f ca="1">IFERROR(__xludf.DUMMYFUNCTION("""COMPUTED_VALUE"""),"")</f>
        <v/>
      </c>
      <c r="O58" s="39" t="str">
        <f ca="1">IFERROR(__xludf.DUMMYFUNCTION("""COMPUTED_VALUE"""),"")</f>
        <v/>
      </c>
      <c r="P58" s="39" t="str">
        <f ca="1">IFERROR(__xludf.DUMMYFUNCTION("""COMPUTED_VALUE"""),"")</f>
        <v/>
      </c>
      <c r="Q58" s="39" t="str">
        <f ca="1">IFERROR(__xludf.DUMMYFUNCTION("""COMPUTED_VALUE"""),"")</f>
        <v/>
      </c>
      <c r="R58" s="39" t="str">
        <f ca="1">IFERROR(__xludf.DUMMYFUNCTION("""COMPUTED_VALUE"""),"")</f>
        <v/>
      </c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20.25" customHeight="1" x14ac:dyDescent="0.25">
      <c r="A59" s="5"/>
      <c r="B59" s="35"/>
      <c r="C59" s="36"/>
      <c r="D59" s="37"/>
      <c r="E59" s="36"/>
      <c r="F59" s="36"/>
      <c r="G59" s="38" t="str">
        <f ca="1">IFERROR(__xludf.DUMMYFUNCTION("""COMPUTED_VALUE"""),"")</f>
        <v/>
      </c>
      <c r="H59" s="38" t="str">
        <f ca="1">IFERROR(__xludf.DUMMYFUNCTION("""COMPUTED_VALUE"""),"")</f>
        <v/>
      </c>
      <c r="I59" s="38" t="str">
        <f ca="1">IFERROR(__xludf.DUMMYFUNCTION("""COMPUTED_VALUE"""),"")</f>
        <v/>
      </c>
      <c r="J59" s="39" t="str">
        <f ca="1">IFERROR(__xludf.DUMMYFUNCTION("""COMPUTED_VALUE"""),"")</f>
        <v/>
      </c>
      <c r="K59" s="39" t="str">
        <f ca="1">IFERROR(__xludf.DUMMYFUNCTION("""COMPUTED_VALUE"""),"")</f>
        <v/>
      </c>
      <c r="L59" s="39" t="str">
        <f ca="1">IFERROR(__xludf.DUMMYFUNCTION("""COMPUTED_VALUE"""),"")</f>
        <v/>
      </c>
      <c r="M59" s="39" t="str">
        <f ca="1">IFERROR(__xludf.DUMMYFUNCTION("""COMPUTED_VALUE"""),"")</f>
        <v/>
      </c>
      <c r="N59" s="39" t="str">
        <f ca="1">IFERROR(__xludf.DUMMYFUNCTION("""COMPUTED_VALUE"""),"")</f>
        <v/>
      </c>
      <c r="O59" s="39" t="str">
        <f ca="1">IFERROR(__xludf.DUMMYFUNCTION("""COMPUTED_VALUE"""),"")</f>
        <v/>
      </c>
      <c r="P59" s="39" t="str">
        <f ca="1">IFERROR(__xludf.DUMMYFUNCTION("""COMPUTED_VALUE"""),"")</f>
        <v/>
      </c>
      <c r="Q59" s="39" t="str">
        <f ca="1">IFERROR(__xludf.DUMMYFUNCTION("""COMPUTED_VALUE"""),"")</f>
        <v/>
      </c>
      <c r="R59" s="39" t="str">
        <f ca="1">IFERROR(__xludf.DUMMYFUNCTION("""COMPUTED_VALUE"""),"")</f>
        <v/>
      </c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20.25" customHeight="1" x14ac:dyDescent="0.25">
      <c r="A60" s="5"/>
      <c r="B60" s="35"/>
      <c r="C60" s="36"/>
      <c r="D60" s="37"/>
      <c r="E60" s="36"/>
      <c r="F60" s="36"/>
      <c r="G60" s="38" t="str">
        <f ca="1">IFERROR(__xludf.DUMMYFUNCTION("""COMPUTED_VALUE"""),"")</f>
        <v/>
      </c>
      <c r="H60" s="38" t="str">
        <f ca="1">IFERROR(__xludf.DUMMYFUNCTION("""COMPUTED_VALUE"""),"")</f>
        <v/>
      </c>
      <c r="I60" s="38" t="str">
        <f ca="1">IFERROR(__xludf.DUMMYFUNCTION("""COMPUTED_VALUE"""),"")</f>
        <v/>
      </c>
      <c r="J60" s="39" t="str">
        <f ca="1">IFERROR(__xludf.DUMMYFUNCTION("""COMPUTED_VALUE"""),"")</f>
        <v/>
      </c>
      <c r="K60" s="39" t="str">
        <f ca="1">IFERROR(__xludf.DUMMYFUNCTION("""COMPUTED_VALUE"""),"")</f>
        <v/>
      </c>
      <c r="L60" s="39" t="str">
        <f ca="1">IFERROR(__xludf.DUMMYFUNCTION("""COMPUTED_VALUE"""),"")</f>
        <v/>
      </c>
      <c r="M60" s="39" t="str">
        <f ca="1">IFERROR(__xludf.DUMMYFUNCTION("""COMPUTED_VALUE"""),"")</f>
        <v/>
      </c>
      <c r="N60" s="39" t="str">
        <f ca="1">IFERROR(__xludf.DUMMYFUNCTION("""COMPUTED_VALUE"""),"")</f>
        <v/>
      </c>
      <c r="O60" s="39" t="str">
        <f ca="1">IFERROR(__xludf.DUMMYFUNCTION("""COMPUTED_VALUE"""),"")</f>
        <v/>
      </c>
      <c r="P60" s="39" t="str">
        <f ca="1">IFERROR(__xludf.DUMMYFUNCTION("""COMPUTED_VALUE"""),"")</f>
        <v/>
      </c>
      <c r="Q60" s="39" t="str">
        <f ca="1">IFERROR(__xludf.DUMMYFUNCTION("""COMPUTED_VALUE"""),"")</f>
        <v/>
      </c>
      <c r="R60" s="39" t="str">
        <f ca="1">IFERROR(__xludf.DUMMYFUNCTION("""COMPUTED_VALUE"""),"")</f>
        <v/>
      </c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20.25" customHeight="1" x14ac:dyDescent="0.25">
      <c r="A61" s="5"/>
      <c r="B61" s="35"/>
      <c r="C61" s="36"/>
      <c r="D61" s="37"/>
      <c r="E61" s="36"/>
      <c r="F61" s="36"/>
      <c r="G61" s="38" t="str">
        <f ca="1">IFERROR(__xludf.DUMMYFUNCTION("""COMPUTED_VALUE"""),"")</f>
        <v/>
      </c>
      <c r="H61" s="38" t="str">
        <f ca="1">IFERROR(__xludf.DUMMYFUNCTION("""COMPUTED_VALUE"""),"")</f>
        <v/>
      </c>
      <c r="I61" s="38" t="str">
        <f ca="1">IFERROR(__xludf.DUMMYFUNCTION("""COMPUTED_VALUE"""),"")</f>
        <v/>
      </c>
      <c r="J61" s="39" t="str">
        <f ca="1">IFERROR(__xludf.DUMMYFUNCTION("""COMPUTED_VALUE"""),"")</f>
        <v/>
      </c>
      <c r="K61" s="39" t="str">
        <f ca="1">IFERROR(__xludf.DUMMYFUNCTION("""COMPUTED_VALUE"""),"")</f>
        <v/>
      </c>
      <c r="L61" s="39" t="str">
        <f ca="1">IFERROR(__xludf.DUMMYFUNCTION("""COMPUTED_VALUE"""),"")</f>
        <v/>
      </c>
      <c r="M61" s="39" t="str">
        <f ca="1">IFERROR(__xludf.DUMMYFUNCTION("""COMPUTED_VALUE"""),"")</f>
        <v/>
      </c>
      <c r="N61" s="39" t="str">
        <f ca="1">IFERROR(__xludf.DUMMYFUNCTION("""COMPUTED_VALUE"""),"")</f>
        <v/>
      </c>
      <c r="O61" s="39" t="str">
        <f ca="1">IFERROR(__xludf.DUMMYFUNCTION("""COMPUTED_VALUE"""),"")</f>
        <v/>
      </c>
      <c r="P61" s="39" t="str">
        <f ca="1">IFERROR(__xludf.DUMMYFUNCTION("""COMPUTED_VALUE"""),"")</f>
        <v/>
      </c>
      <c r="Q61" s="39" t="str">
        <f ca="1">IFERROR(__xludf.DUMMYFUNCTION("""COMPUTED_VALUE"""),"")</f>
        <v/>
      </c>
      <c r="R61" s="39" t="str">
        <f ca="1">IFERROR(__xludf.DUMMYFUNCTION("""COMPUTED_VALUE"""),"")</f>
        <v/>
      </c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20.25" customHeight="1" x14ac:dyDescent="0.25">
      <c r="A62" s="5"/>
      <c r="B62" s="35"/>
      <c r="C62" s="36"/>
      <c r="D62" s="37"/>
      <c r="E62" s="36"/>
      <c r="F62" s="36"/>
      <c r="G62" s="38" t="str">
        <f ca="1">IFERROR(__xludf.DUMMYFUNCTION("""COMPUTED_VALUE"""),"")</f>
        <v/>
      </c>
      <c r="H62" s="38" t="str">
        <f ca="1">IFERROR(__xludf.DUMMYFUNCTION("""COMPUTED_VALUE"""),"")</f>
        <v/>
      </c>
      <c r="I62" s="38" t="str">
        <f ca="1">IFERROR(__xludf.DUMMYFUNCTION("""COMPUTED_VALUE"""),"")</f>
        <v/>
      </c>
      <c r="J62" s="39" t="str">
        <f ca="1">IFERROR(__xludf.DUMMYFUNCTION("""COMPUTED_VALUE"""),"")</f>
        <v/>
      </c>
      <c r="K62" s="39" t="str">
        <f ca="1">IFERROR(__xludf.DUMMYFUNCTION("""COMPUTED_VALUE"""),"")</f>
        <v/>
      </c>
      <c r="L62" s="39" t="str">
        <f ca="1">IFERROR(__xludf.DUMMYFUNCTION("""COMPUTED_VALUE"""),"")</f>
        <v/>
      </c>
      <c r="M62" s="39" t="str">
        <f ca="1">IFERROR(__xludf.DUMMYFUNCTION("""COMPUTED_VALUE"""),"")</f>
        <v/>
      </c>
      <c r="N62" s="39" t="str">
        <f ca="1">IFERROR(__xludf.DUMMYFUNCTION("""COMPUTED_VALUE"""),"")</f>
        <v/>
      </c>
      <c r="O62" s="39" t="str">
        <f ca="1">IFERROR(__xludf.DUMMYFUNCTION("""COMPUTED_VALUE"""),"")</f>
        <v/>
      </c>
      <c r="P62" s="39" t="str">
        <f ca="1">IFERROR(__xludf.DUMMYFUNCTION("""COMPUTED_VALUE"""),"")</f>
        <v/>
      </c>
      <c r="Q62" s="39" t="str">
        <f ca="1">IFERROR(__xludf.DUMMYFUNCTION("""COMPUTED_VALUE"""),"")</f>
        <v/>
      </c>
      <c r="R62" s="39" t="str">
        <f ca="1">IFERROR(__xludf.DUMMYFUNCTION("""COMPUTED_VALUE"""),"")</f>
        <v/>
      </c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20.25" customHeight="1" x14ac:dyDescent="0.25">
      <c r="A63" s="5"/>
      <c r="B63" s="35"/>
      <c r="C63" s="36"/>
      <c r="D63" s="37"/>
      <c r="E63" s="36"/>
      <c r="F63" s="36"/>
      <c r="G63" s="38" t="str">
        <f ca="1">IFERROR(__xludf.DUMMYFUNCTION("""COMPUTED_VALUE"""),"")</f>
        <v/>
      </c>
      <c r="H63" s="38" t="str">
        <f ca="1">IFERROR(__xludf.DUMMYFUNCTION("""COMPUTED_VALUE"""),"")</f>
        <v/>
      </c>
      <c r="I63" s="38" t="str">
        <f ca="1">IFERROR(__xludf.DUMMYFUNCTION("""COMPUTED_VALUE"""),"")</f>
        <v/>
      </c>
      <c r="J63" s="39" t="str">
        <f ca="1">IFERROR(__xludf.DUMMYFUNCTION("""COMPUTED_VALUE"""),"")</f>
        <v/>
      </c>
      <c r="K63" s="39" t="str">
        <f ca="1">IFERROR(__xludf.DUMMYFUNCTION("""COMPUTED_VALUE"""),"")</f>
        <v/>
      </c>
      <c r="L63" s="39" t="str">
        <f ca="1">IFERROR(__xludf.DUMMYFUNCTION("""COMPUTED_VALUE"""),"")</f>
        <v/>
      </c>
      <c r="M63" s="39" t="str">
        <f ca="1">IFERROR(__xludf.DUMMYFUNCTION("""COMPUTED_VALUE"""),"")</f>
        <v/>
      </c>
      <c r="N63" s="39" t="str">
        <f ca="1">IFERROR(__xludf.DUMMYFUNCTION("""COMPUTED_VALUE"""),"")</f>
        <v/>
      </c>
      <c r="O63" s="39" t="str">
        <f ca="1">IFERROR(__xludf.DUMMYFUNCTION("""COMPUTED_VALUE"""),"")</f>
        <v/>
      </c>
      <c r="P63" s="39" t="str">
        <f ca="1">IFERROR(__xludf.DUMMYFUNCTION("""COMPUTED_VALUE"""),"")</f>
        <v/>
      </c>
      <c r="Q63" s="39" t="str">
        <f ca="1">IFERROR(__xludf.DUMMYFUNCTION("""COMPUTED_VALUE"""),"")</f>
        <v/>
      </c>
      <c r="R63" s="39" t="str">
        <f ca="1">IFERROR(__xludf.DUMMYFUNCTION("""COMPUTED_VALUE"""),"")</f>
        <v/>
      </c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20.25" customHeight="1" x14ac:dyDescent="0.25">
      <c r="A64" s="5"/>
      <c r="B64" s="35"/>
      <c r="C64" s="36"/>
      <c r="D64" s="37"/>
      <c r="E64" s="36"/>
      <c r="F64" s="36"/>
      <c r="G64" s="38" t="str">
        <f ca="1">IFERROR(__xludf.DUMMYFUNCTION("""COMPUTED_VALUE"""),"")</f>
        <v/>
      </c>
      <c r="H64" s="38" t="str">
        <f ca="1">IFERROR(__xludf.DUMMYFUNCTION("""COMPUTED_VALUE"""),"")</f>
        <v/>
      </c>
      <c r="I64" s="38" t="str">
        <f ca="1">IFERROR(__xludf.DUMMYFUNCTION("""COMPUTED_VALUE"""),"")</f>
        <v/>
      </c>
      <c r="J64" s="39" t="str">
        <f ca="1">IFERROR(__xludf.DUMMYFUNCTION("""COMPUTED_VALUE"""),"")</f>
        <v/>
      </c>
      <c r="K64" s="39" t="str">
        <f ca="1">IFERROR(__xludf.DUMMYFUNCTION("""COMPUTED_VALUE"""),"")</f>
        <v/>
      </c>
      <c r="L64" s="39" t="str">
        <f ca="1">IFERROR(__xludf.DUMMYFUNCTION("""COMPUTED_VALUE"""),"")</f>
        <v/>
      </c>
      <c r="M64" s="39" t="str">
        <f ca="1">IFERROR(__xludf.DUMMYFUNCTION("""COMPUTED_VALUE"""),"")</f>
        <v/>
      </c>
      <c r="N64" s="39" t="str">
        <f ca="1">IFERROR(__xludf.DUMMYFUNCTION("""COMPUTED_VALUE"""),"")</f>
        <v/>
      </c>
      <c r="O64" s="39" t="str">
        <f ca="1">IFERROR(__xludf.DUMMYFUNCTION("""COMPUTED_VALUE"""),"")</f>
        <v/>
      </c>
      <c r="P64" s="39" t="str">
        <f ca="1">IFERROR(__xludf.DUMMYFUNCTION("""COMPUTED_VALUE"""),"")</f>
        <v/>
      </c>
      <c r="Q64" s="39" t="str">
        <f ca="1">IFERROR(__xludf.DUMMYFUNCTION("""COMPUTED_VALUE"""),"")</f>
        <v/>
      </c>
      <c r="R64" s="39" t="str">
        <f ca="1">IFERROR(__xludf.DUMMYFUNCTION("""COMPUTED_VALUE"""),"")</f>
        <v/>
      </c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20.25" customHeight="1" x14ac:dyDescent="0.25">
      <c r="A65" s="5"/>
      <c r="B65" s="35"/>
      <c r="C65" s="36"/>
      <c r="D65" s="37"/>
      <c r="E65" s="36"/>
      <c r="F65" s="36"/>
      <c r="G65" s="38" t="str">
        <f ca="1">IFERROR(__xludf.DUMMYFUNCTION("""COMPUTED_VALUE"""),"")</f>
        <v/>
      </c>
      <c r="H65" s="38" t="str">
        <f ca="1">IFERROR(__xludf.DUMMYFUNCTION("""COMPUTED_VALUE"""),"")</f>
        <v/>
      </c>
      <c r="I65" s="38" t="str">
        <f ca="1">IFERROR(__xludf.DUMMYFUNCTION("""COMPUTED_VALUE"""),"")</f>
        <v/>
      </c>
      <c r="J65" s="39" t="str">
        <f ca="1">IFERROR(__xludf.DUMMYFUNCTION("""COMPUTED_VALUE"""),"")</f>
        <v/>
      </c>
      <c r="K65" s="39" t="str">
        <f ca="1">IFERROR(__xludf.DUMMYFUNCTION("""COMPUTED_VALUE"""),"")</f>
        <v/>
      </c>
      <c r="L65" s="39" t="str">
        <f ca="1">IFERROR(__xludf.DUMMYFUNCTION("""COMPUTED_VALUE"""),"")</f>
        <v/>
      </c>
      <c r="M65" s="39" t="str">
        <f ca="1">IFERROR(__xludf.DUMMYFUNCTION("""COMPUTED_VALUE"""),"")</f>
        <v/>
      </c>
      <c r="N65" s="39" t="str">
        <f ca="1">IFERROR(__xludf.DUMMYFUNCTION("""COMPUTED_VALUE"""),"")</f>
        <v/>
      </c>
      <c r="O65" s="39" t="str">
        <f ca="1">IFERROR(__xludf.DUMMYFUNCTION("""COMPUTED_VALUE"""),"")</f>
        <v/>
      </c>
      <c r="P65" s="39" t="str">
        <f ca="1">IFERROR(__xludf.DUMMYFUNCTION("""COMPUTED_VALUE"""),"")</f>
        <v/>
      </c>
      <c r="Q65" s="39" t="str">
        <f ca="1">IFERROR(__xludf.DUMMYFUNCTION("""COMPUTED_VALUE"""),"")</f>
        <v/>
      </c>
      <c r="R65" s="39" t="str">
        <f ca="1">IFERROR(__xludf.DUMMYFUNCTION("""COMPUTED_VALUE"""),"")</f>
        <v/>
      </c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20.25" customHeight="1" x14ac:dyDescent="0.25">
      <c r="A66" s="5"/>
      <c r="B66" s="35"/>
      <c r="C66" s="36"/>
      <c r="D66" s="37"/>
      <c r="E66" s="36"/>
      <c r="F66" s="36"/>
      <c r="G66" s="38" t="str">
        <f ca="1">IFERROR(__xludf.DUMMYFUNCTION("""COMPUTED_VALUE"""),"")</f>
        <v/>
      </c>
      <c r="H66" s="38" t="str">
        <f ca="1">IFERROR(__xludf.DUMMYFUNCTION("""COMPUTED_VALUE"""),"")</f>
        <v/>
      </c>
      <c r="I66" s="38" t="str">
        <f ca="1">IFERROR(__xludf.DUMMYFUNCTION("""COMPUTED_VALUE"""),"")</f>
        <v/>
      </c>
      <c r="J66" s="39" t="str">
        <f ca="1">IFERROR(__xludf.DUMMYFUNCTION("""COMPUTED_VALUE"""),"")</f>
        <v/>
      </c>
      <c r="K66" s="39" t="str">
        <f ca="1">IFERROR(__xludf.DUMMYFUNCTION("""COMPUTED_VALUE"""),"")</f>
        <v/>
      </c>
      <c r="L66" s="39" t="str">
        <f ca="1">IFERROR(__xludf.DUMMYFUNCTION("""COMPUTED_VALUE"""),"")</f>
        <v/>
      </c>
      <c r="M66" s="39" t="str">
        <f ca="1">IFERROR(__xludf.DUMMYFUNCTION("""COMPUTED_VALUE"""),"")</f>
        <v/>
      </c>
      <c r="N66" s="39" t="str">
        <f ca="1">IFERROR(__xludf.DUMMYFUNCTION("""COMPUTED_VALUE"""),"")</f>
        <v/>
      </c>
      <c r="O66" s="39" t="str">
        <f ca="1">IFERROR(__xludf.DUMMYFUNCTION("""COMPUTED_VALUE"""),"")</f>
        <v/>
      </c>
      <c r="P66" s="39" t="str">
        <f ca="1">IFERROR(__xludf.DUMMYFUNCTION("""COMPUTED_VALUE"""),"")</f>
        <v/>
      </c>
      <c r="Q66" s="39" t="str">
        <f ca="1">IFERROR(__xludf.DUMMYFUNCTION("""COMPUTED_VALUE"""),"")</f>
        <v/>
      </c>
      <c r="R66" s="39" t="str">
        <f ca="1">IFERROR(__xludf.DUMMYFUNCTION("""COMPUTED_VALUE"""),"")</f>
        <v/>
      </c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20.25" customHeight="1" x14ac:dyDescent="0.25">
      <c r="A67" s="5"/>
      <c r="B67" s="35"/>
      <c r="C67" s="36"/>
      <c r="D67" s="37"/>
      <c r="E67" s="36"/>
      <c r="F67" s="36"/>
      <c r="G67" s="38" t="str">
        <f ca="1">IFERROR(__xludf.DUMMYFUNCTION("""COMPUTED_VALUE"""),"")</f>
        <v/>
      </c>
      <c r="H67" s="38" t="str">
        <f ca="1">IFERROR(__xludf.DUMMYFUNCTION("""COMPUTED_VALUE"""),"")</f>
        <v/>
      </c>
      <c r="I67" s="38" t="str">
        <f ca="1">IFERROR(__xludf.DUMMYFUNCTION("""COMPUTED_VALUE"""),"")</f>
        <v/>
      </c>
      <c r="J67" s="39" t="str">
        <f ca="1">IFERROR(__xludf.DUMMYFUNCTION("""COMPUTED_VALUE"""),"")</f>
        <v/>
      </c>
      <c r="K67" s="39" t="str">
        <f ca="1">IFERROR(__xludf.DUMMYFUNCTION("""COMPUTED_VALUE"""),"")</f>
        <v/>
      </c>
      <c r="L67" s="39" t="str">
        <f ca="1">IFERROR(__xludf.DUMMYFUNCTION("""COMPUTED_VALUE"""),"")</f>
        <v/>
      </c>
      <c r="M67" s="39" t="str">
        <f ca="1">IFERROR(__xludf.DUMMYFUNCTION("""COMPUTED_VALUE"""),"")</f>
        <v/>
      </c>
      <c r="N67" s="39" t="str">
        <f ca="1">IFERROR(__xludf.DUMMYFUNCTION("""COMPUTED_VALUE"""),"")</f>
        <v/>
      </c>
      <c r="O67" s="39" t="str">
        <f ca="1">IFERROR(__xludf.DUMMYFUNCTION("""COMPUTED_VALUE"""),"")</f>
        <v/>
      </c>
      <c r="P67" s="39" t="str">
        <f ca="1">IFERROR(__xludf.DUMMYFUNCTION("""COMPUTED_VALUE"""),"")</f>
        <v/>
      </c>
      <c r="Q67" s="39" t="str">
        <f ca="1">IFERROR(__xludf.DUMMYFUNCTION("""COMPUTED_VALUE"""),"")</f>
        <v/>
      </c>
      <c r="R67" s="39" t="str">
        <f ca="1">IFERROR(__xludf.DUMMYFUNCTION("""COMPUTED_VALUE"""),"")</f>
        <v/>
      </c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20.25" customHeight="1" x14ac:dyDescent="0.25">
      <c r="A68" s="5"/>
      <c r="B68" s="35"/>
      <c r="C68" s="36"/>
      <c r="D68" s="37"/>
      <c r="E68" s="36"/>
      <c r="F68" s="36"/>
      <c r="G68" s="38" t="str">
        <f ca="1">IFERROR(__xludf.DUMMYFUNCTION("""COMPUTED_VALUE"""),"")</f>
        <v/>
      </c>
      <c r="H68" s="38" t="str">
        <f ca="1">IFERROR(__xludf.DUMMYFUNCTION("""COMPUTED_VALUE"""),"")</f>
        <v/>
      </c>
      <c r="I68" s="38" t="str">
        <f ca="1">IFERROR(__xludf.DUMMYFUNCTION("""COMPUTED_VALUE"""),"")</f>
        <v/>
      </c>
      <c r="J68" s="39" t="str">
        <f ca="1">IFERROR(__xludf.DUMMYFUNCTION("""COMPUTED_VALUE"""),"")</f>
        <v/>
      </c>
      <c r="K68" s="39" t="str">
        <f ca="1">IFERROR(__xludf.DUMMYFUNCTION("""COMPUTED_VALUE"""),"")</f>
        <v/>
      </c>
      <c r="L68" s="39" t="str">
        <f ca="1">IFERROR(__xludf.DUMMYFUNCTION("""COMPUTED_VALUE"""),"")</f>
        <v/>
      </c>
      <c r="M68" s="39" t="str">
        <f ca="1">IFERROR(__xludf.DUMMYFUNCTION("""COMPUTED_VALUE"""),"")</f>
        <v/>
      </c>
      <c r="N68" s="39" t="str">
        <f ca="1">IFERROR(__xludf.DUMMYFUNCTION("""COMPUTED_VALUE"""),"")</f>
        <v/>
      </c>
      <c r="O68" s="39" t="str">
        <f ca="1">IFERROR(__xludf.DUMMYFUNCTION("""COMPUTED_VALUE"""),"")</f>
        <v/>
      </c>
      <c r="P68" s="39" t="str">
        <f ca="1">IFERROR(__xludf.DUMMYFUNCTION("""COMPUTED_VALUE"""),"")</f>
        <v/>
      </c>
      <c r="Q68" s="39" t="str">
        <f ca="1">IFERROR(__xludf.DUMMYFUNCTION("""COMPUTED_VALUE"""),"")</f>
        <v/>
      </c>
      <c r="R68" s="39" t="str">
        <f ca="1">IFERROR(__xludf.DUMMYFUNCTION("""COMPUTED_VALUE"""),"")</f>
        <v/>
      </c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20.25" customHeight="1" x14ac:dyDescent="0.25">
      <c r="A69" s="5"/>
      <c r="B69" s="35"/>
      <c r="C69" s="36"/>
      <c r="D69" s="37"/>
      <c r="E69" s="36"/>
      <c r="F69" s="36"/>
      <c r="G69" s="38" t="str">
        <f ca="1">IFERROR(__xludf.DUMMYFUNCTION("""COMPUTED_VALUE"""),"")</f>
        <v/>
      </c>
      <c r="H69" s="38" t="str">
        <f ca="1">IFERROR(__xludf.DUMMYFUNCTION("""COMPUTED_VALUE"""),"")</f>
        <v/>
      </c>
      <c r="I69" s="38" t="str">
        <f ca="1">IFERROR(__xludf.DUMMYFUNCTION("""COMPUTED_VALUE"""),"")</f>
        <v/>
      </c>
      <c r="J69" s="39" t="str">
        <f ca="1">IFERROR(__xludf.DUMMYFUNCTION("""COMPUTED_VALUE"""),"")</f>
        <v/>
      </c>
      <c r="K69" s="39" t="str">
        <f ca="1">IFERROR(__xludf.DUMMYFUNCTION("""COMPUTED_VALUE"""),"")</f>
        <v/>
      </c>
      <c r="L69" s="39" t="str">
        <f ca="1">IFERROR(__xludf.DUMMYFUNCTION("""COMPUTED_VALUE"""),"")</f>
        <v/>
      </c>
      <c r="M69" s="39" t="str">
        <f ca="1">IFERROR(__xludf.DUMMYFUNCTION("""COMPUTED_VALUE"""),"")</f>
        <v/>
      </c>
      <c r="N69" s="39" t="str">
        <f ca="1">IFERROR(__xludf.DUMMYFUNCTION("""COMPUTED_VALUE"""),"")</f>
        <v/>
      </c>
      <c r="O69" s="39" t="str">
        <f ca="1">IFERROR(__xludf.DUMMYFUNCTION("""COMPUTED_VALUE"""),"")</f>
        <v/>
      </c>
      <c r="P69" s="39" t="str">
        <f ca="1">IFERROR(__xludf.DUMMYFUNCTION("""COMPUTED_VALUE"""),"")</f>
        <v/>
      </c>
      <c r="Q69" s="39" t="str">
        <f ca="1">IFERROR(__xludf.DUMMYFUNCTION("""COMPUTED_VALUE"""),"")</f>
        <v/>
      </c>
      <c r="R69" s="39" t="str">
        <f ca="1">IFERROR(__xludf.DUMMYFUNCTION("""COMPUTED_VALUE"""),"")</f>
        <v/>
      </c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20.25" customHeight="1" x14ac:dyDescent="0.25">
      <c r="A70" s="5"/>
      <c r="B70" s="35"/>
      <c r="C70" s="36"/>
      <c r="D70" s="37"/>
      <c r="E70" s="36"/>
      <c r="F70" s="36"/>
      <c r="G70" s="38" t="str">
        <f ca="1">IFERROR(__xludf.DUMMYFUNCTION("""COMPUTED_VALUE"""),"")</f>
        <v/>
      </c>
      <c r="H70" s="38" t="str">
        <f ca="1">IFERROR(__xludf.DUMMYFUNCTION("""COMPUTED_VALUE"""),"")</f>
        <v/>
      </c>
      <c r="I70" s="38" t="str">
        <f ca="1">IFERROR(__xludf.DUMMYFUNCTION("""COMPUTED_VALUE"""),"")</f>
        <v/>
      </c>
      <c r="J70" s="39" t="str">
        <f ca="1">IFERROR(__xludf.DUMMYFUNCTION("""COMPUTED_VALUE"""),"")</f>
        <v/>
      </c>
      <c r="K70" s="39" t="str">
        <f ca="1">IFERROR(__xludf.DUMMYFUNCTION("""COMPUTED_VALUE"""),"")</f>
        <v/>
      </c>
      <c r="L70" s="39" t="str">
        <f ca="1">IFERROR(__xludf.DUMMYFUNCTION("""COMPUTED_VALUE"""),"")</f>
        <v/>
      </c>
      <c r="M70" s="39" t="str">
        <f ca="1">IFERROR(__xludf.DUMMYFUNCTION("""COMPUTED_VALUE"""),"")</f>
        <v/>
      </c>
      <c r="N70" s="39" t="str">
        <f ca="1">IFERROR(__xludf.DUMMYFUNCTION("""COMPUTED_VALUE"""),"")</f>
        <v/>
      </c>
      <c r="O70" s="39" t="str">
        <f ca="1">IFERROR(__xludf.DUMMYFUNCTION("""COMPUTED_VALUE"""),"")</f>
        <v/>
      </c>
      <c r="P70" s="39" t="str">
        <f ca="1">IFERROR(__xludf.DUMMYFUNCTION("""COMPUTED_VALUE"""),"")</f>
        <v/>
      </c>
      <c r="Q70" s="39" t="str">
        <f ca="1">IFERROR(__xludf.DUMMYFUNCTION("""COMPUTED_VALUE"""),"")</f>
        <v/>
      </c>
      <c r="R70" s="39" t="str">
        <f ca="1">IFERROR(__xludf.DUMMYFUNCTION("""COMPUTED_VALUE"""),"")</f>
        <v/>
      </c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20.25" customHeight="1" x14ac:dyDescent="0.25">
      <c r="A71" s="5"/>
      <c r="B71" s="35"/>
      <c r="C71" s="36"/>
      <c r="D71" s="37"/>
      <c r="E71" s="36"/>
      <c r="F71" s="36"/>
      <c r="G71" s="38" t="str">
        <f ca="1">IFERROR(__xludf.DUMMYFUNCTION("""COMPUTED_VALUE"""),"")</f>
        <v/>
      </c>
      <c r="H71" s="38" t="str">
        <f ca="1">IFERROR(__xludf.DUMMYFUNCTION("""COMPUTED_VALUE"""),"")</f>
        <v/>
      </c>
      <c r="I71" s="38" t="str">
        <f ca="1">IFERROR(__xludf.DUMMYFUNCTION("""COMPUTED_VALUE"""),"")</f>
        <v/>
      </c>
      <c r="J71" s="39" t="str">
        <f ca="1">IFERROR(__xludf.DUMMYFUNCTION("""COMPUTED_VALUE"""),"")</f>
        <v/>
      </c>
      <c r="K71" s="39" t="str">
        <f ca="1">IFERROR(__xludf.DUMMYFUNCTION("""COMPUTED_VALUE"""),"")</f>
        <v/>
      </c>
      <c r="L71" s="39" t="str">
        <f ca="1">IFERROR(__xludf.DUMMYFUNCTION("""COMPUTED_VALUE"""),"")</f>
        <v/>
      </c>
      <c r="M71" s="39" t="str">
        <f ca="1">IFERROR(__xludf.DUMMYFUNCTION("""COMPUTED_VALUE"""),"")</f>
        <v/>
      </c>
      <c r="N71" s="39" t="str">
        <f ca="1">IFERROR(__xludf.DUMMYFUNCTION("""COMPUTED_VALUE"""),"")</f>
        <v/>
      </c>
      <c r="O71" s="39" t="str">
        <f ca="1">IFERROR(__xludf.DUMMYFUNCTION("""COMPUTED_VALUE"""),"")</f>
        <v/>
      </c>
      <c r="P71" s="39" t="str">
        <f ca="1">IFERROR(__xludf.DUMMYFUNCTION("""COMPUTED_VALUE"""),"")</f>
        <v/>
      </c>
      <c r="Q71" s="39" t="str">
        <f ca="1">IFERROR(__xludf.DUMMYFUNCTION("""COMPUTED_VALUE"""),"")</f>
        <v/>
      </c>
      <c r="R71" s="39" t="str">
        <f ca="1">IFERROR(__xludf.DUMMYFUNCTION("""COMPUTED_VALUE"""),"")</f>
        <v/>
      </c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20.25" customHeight="1" x14ac:dyDescent="0.25">
      <c r="A72" s="5"/>
      <c r="B72" s="35"/>
      <c r="C72" s="36"/>
      <c r="D72" s="37"/>
      <c r="E72" s="36"/>
      <c r="F72" s="36"/>
      <c r="G72" s="38" t="str">
        <f ca="1">IFERROR(__xludf.DUMMYFUNCTION("""COMPUTED_VALUE"""),"")</f>
        <v/>
      </c>
      <c r="H72" s="38" t="str">
        <f ca="1">IFERROR(__xludf.DUMMYFUNCTION("""COMPUTED_VALUE"""),"")</f>
        <v/>
      </c>
      <c r="I72" s="38" t="str">
        <f ca="1">IFERROR(__xludf.DUMMYFUNCTION("""COMPUTED_VALUE"""),"")</f>
        <v/>
      </c>
      <c r="J72" s="39" t="str">
        <f ca="1">IFERROR(__xludf.DUMMYFUNCTION("""COMPUTED_VALUE"""),"")</f>
        <v/>
      </c>
      <c r="K72" s="39" t="str">
        <f ca="1">IFERROR(__xludf.DUMMYFUNCTION("""COMPUTED_VALUE"""),"")</f>
        <v/>
      </c>
      <c r="L72" s="39" t="str">
        <f ca="1">IFERROR(__xludf.DUMMYFUNCTION("""COMPUTED_VALUE"""),"")</f>
        <v/>
      </c>
      <c r="M72" s="39" t="str">
        <f ca="1">IFERROR(__xludf.DUMMYFUNCTION("""COMPUTED_VALUE"""),"")</f>
        <v/>
      </c>
      <c r="N72" s="39" t="str">
        <f ca="1">IFERROR(__xludf.DUMMYFUNCTION("""COMPUTED_VALUE"""),"")</f>
        <v/>
      </c>
      <c r="O72" s="39" t="str">
        <f ca="1">IFERROR(__xludf.DUMMYFUNCTION("""COMPUTED_VALUE"""),"")</f>
        <v/>
      </c>
      <c r="P72" s="39" t="str">
        <f ca="1">IFERROR(__xludf.DUMMYFUNCTION("""COMPUTED_VALUE"""),"")</f>
        <v/>
      </c>
      <c r="Q72" s="39" t="str">
        <f ca="1">IFERROR(__xludf.DUMMYFUNCTION("""COMPUTED_VALUE"""),"")</f>
        <v/>
      </c>
      <c r="R72" s="39" t="str">
        <f ca="1">IFERROR(__xludf.DUMMYFUNCTION("""COMPUTED_VALUE"""),"")</f>
        <v/>
      </c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20.25" customHeight="1" x14ac:dyDescent="0.25">
      <c r="A73" s="5"/>
      <c r="B73" s="35"/>
      <c r="C73" s="36"/>
      <c r="D73" s="37"/>
      <c r="E73" s="36"/>
      <c r="F73" s="36"/>
      <c r="G73" s="38" t="str">
        <f ca="1">IFERROR(__xludf.DUMMYFUNCTION("""COMPUTED_VALUE"""),"")</f>
        <v/>
      </c>
      <c r="H73" s="38" t="str">
        <f ca="1">IFERROR(__xludf.DUMMYFUNCTION("""COMPUTED_VALUE"""),"")</f>
        <v/>
      </c>
      <c r="I73" s="38" t="str">
        <f ca="1">IFERROR(__xludf.DUMMYFUNCTION("""COMPUTED_VALUE"""),"")</f>
        <v/>
      </c>
      <c r="J73" s="39" t="str">
        <f ca="1">IFERROR(__xludf.DUMMYFUNCTION("""COMPUTED_VALUE"""),"")</f>
        <v/>
      </c>
      <c r="K73" s="39" t="str">
        <f ca="1">IFERROR(__xludf.DUMMYFUNCTION("""COMPUTED_VALUE"""),"")</f>
        <v/>
      </c>
      <c r="L73" s="39" t="str">
        <f ca="1">IFERROR(__xludf.DUMMYFUNCTION("""COMPUTED_VALUE"""),"")</f>
        <v/>
      </c>
      <c r="M73" s="39" t="str">
        <f ca="1">IFERROR(__xludf.DUMMYFUNCTION("""COMPUTED_VALUE"""),"")</f>
        <v/>
      </c>
      <c r="N73" s="39" t="str">
        <f ca="1">IFERROR(__xludf.DUMMYFUNCTION("""COMPUTED_VALUE"""),"")</f>
        <v/>
      </c>
      <c r="O73" s="39" t="str">
        <f ca="1">IFERROR(__xludf.DUMMYFUNCTION("""COMPUTED_VALUE"""),"")</f>
        <v/>
      </c>
      <c r="P73" s="39" t="str">
        <f ca="1">IFERROR(__xludf.DUMMYFUNCTION("""COMPUTED_VALUE"""),"")</f>
        <v/>
      </c>
      <c r="Q73" s="39" t="str">
        <f ca="1">IFERROR(__xludf.DUMMYFUNCTION("""COMPUTED_VALUE"""),"")</f>
        <v/>
      </c>
      <c r="R73" s="39" t="str">
        <f ca="1">IFERROR(__xludf.DUMMYFUNCTION("""COMPUTED_VALUE"""),"")</f>
        <v/>
      </c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20.25" customHeight="1" x14ac:dyDescent="0.25">
      <c r="A74" s="5"/>
      <c r="B74" s="35"/>
      <c r="C74" s="36"/>
      <c r="D74" s="37"/>
      <c r="E74" s="36"/>
      <c r="F74" s="36"/>
      <c r="G74" s="38" t="str">
        <f ca="1">IFERROR(__xludf.DUMMYFUNCTION("""COMPUTED_VALUE"""),"")</f>
        <v/>
      </c>
      <c r="H74" s="38" t="str">
        <f ca="1">IFERROR(__xludf.DUMMYFUNCTION("""COMPUTED_VALUE"""),"")</f>
        <v/>
      </c>
      <c r="I74" s="38" t="str">
        <f ca="1">IFERROR(__xludf.DUMMYFUNCTION("""COMPUTED_VALUE"""),"")</f>
        <v/>
      </c>
      <c r="J74" s="39" t="str">
        <f ca="1">IFERROR(__xludf.DUMMYFUNCTION("""COMPUTED_VALUE"""),"")</f>
        <v/>
      </c>
      <c r="K74" s="39" t="str">
        <f ca="1">IFERROR(__xludf.DUMMYFUNCTION("""COMPUTED_VALUE"""),"")</f>
        <v/>
      </c>
      <c r="L74" s="39" t="str">
        <f ca="1">IFERROR(__xludf.DUMMYFUNCTION("""COMPUTED_VALUE"""),"")</f>
        <v/>
      </c>
      <c r="M74" s="39" t="str">
        <f ca="1">IFERROR(__xludf.DUMMYFUNCTION("""COMPUTED_VALUE"""),"")</f>
        <v/>
      </c>
      <c r="N74" s="39" t="str">
        <f ca="1">IFERROR(__xludf.DUMMYFUNCTION("""COMPUTED_VALUE"""),"")</f>
        <v/>
      </c>
      <c r="O74" s="39" t="str">
        <f ca="1">IFERROR(__xludf.DUMMYFUNCTION("""COMPUTED_VALUE"""),"")</f>
        <v/>
      </c>
      <c r="P74" s="39" t="str">
        <f ca="1">IFERROR(__xludf.DUMMYFUNCTION("""COMPUTED_VALUE"""),"")</f>
        <v/>
      </c>
      <c r="Q74" s="39" t="str">
        <f ca="1">IFERROR(__xludf.DUMMYFUNCTION("""COMPUTED_VALUE"""),"")</f>
        <v/>
      </c>
      <c r="R74" s="39" t="str">
        <f ca="1">IFERROR(__xludf.DUMMYFUNCTION("""COMPUTED_VALUE"""),"")</f>
        <v/>
      </c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20.25" customHeight="1" x14ac:dyDescent="0.25">
      <c r="A75" s="5"/>
      <c r="B75" s="35"/>
      <c r="C75" s="36"/>
      <c r="D75" s="37"/>
      <c r="E75" s="36"/>
      <c r="F75" s="36"/>
      <c r="G75" s="38" t="str">
        <f ca="1">IFERROR(__xludf.DUMMYFUNCTION("""COMPUTED_VALUE"""),"")</f>
        <v/>
      </c>
      <c r="H75" s="38" t="str">
        <f ca="1">IFERROR(__xludf.DUMMYFUNCTION("""COMPUTED_VALUE"""),"")</f>
        <v/>
      </c>
      <c r="I75" s="38" t="str">
        <f ca="1">IFERROR(__xludf.DUMMYFUNCTION("""COMPUTED_VALUE"""),"")</f>
        <v/>
      </c>
      <c r="J75" s="39" t="str">
        <f ca="1">IFERROR(__xludf.DUMMYFUNCTION("""COMPUTED_VALUE"""),"")</f>
        <v/>
      </c>
      <c r="K75" s="39" t="str">
        <f ca="1">IFERROR(__xludf.DUMMYFUNCTION("""COMPUTED_VALUE"""),"")</f>
        <v/>
      </c>
      <c r="L75" s="39" t="str">
        <f ca="1">IFERROR(__xludf.DUMMYFUNCTION("""COMPUTED_VALUE"""),"")</f>
        <v/>
      </c>
      <c r="M75" s="39" t="str">
        <f ca="1">IFERROR(__xludf.DUMMYFUNCTION("""COMPUTED_VALUE"""),"")</f>
        <v/>
      </c>
      <c r="N75" s="39" t="str">
        <f ca="1">IFERROR(__xludf.DUMMYFUNCTION("""COMPUTED_VALUE"""),"")</f>
        <v/>
      </c>
      <c r="O75" s="39" t="str">
        <f ca="1">IFERROR(__xludf.DUMMYFUNCTION("""COMPUTED_VALUE"""),"")</f>
        <v/>
      </c>
      <c r="P75" s="39" t="str">
        <f ca="1">IFERROR(__xludf.DUMMYFUNCTION("""COMPUTED_VALUE"""),"")</f>
        <v/>
      </c>
      <c r="Q75" s="39" t="str">
        <f ca="1">IFERROR(__xludf.DUMMYFUNCTION("""COMPUTED_VALUE"""),"")</f>
        <v/>
      </c>
      <c r="R75" s="39" t="str">
        <f ca="1">IFERROR(__xludf.DUMMYFUNCTION("""COMPUTED_VALUE"""),"")</f>
        <v/>
      </c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20.25" customHeight="1" x14ac:dyDescent="0.25">
      <c r="A76" s="5"/>
      <c r="B76" s="35"/>
      <c r="C76" s="36"/>
      <c r="D76" s="37"/>
      <c r="E76" s="36"/>
      <c r="F76" s="36"/>
      <c r="G76" s="38" t="str">
        <f ca="1">IFERROR(__xludf.DUMMYFUNCTION("""COMPUTED_VALUE"""),"")</f>
        <v/>
      </c>
      <c r="H76" s="38" t="str">
        <f ca="1">IFERROR(__xludf.DUMMYFUNCTION("""COMPUTED_VALUE"""),"")</f>
        <v/>
      </c>
      <c r="I76" s="38" t="str">
        <f ca="1">IFERROR(__xludf.DUMMYFUNCTION("""COMPUTED_VALUE"""),"")</f>
        <v/>
      </c>
      <c r="J76" s="39" t="str">
        <f ca="1">IFERROR(__xludf.DUMMYFUNCTION("""COMPUTED_VALUE"""),"")</f>
        <v/>
      </c>
      <c r="K76" s="39" t="str">
        <f ca="1">IFERROR(__xludf.DUMMYFUNCTION("""COMPUTED_VALUE"""),"")</f>
        <v/>
      </c>
      <c r="L76" s="39" t="str">
        <f ca="1">IFERROR(__xludf.DUMMYFUNCTION("""COMPUTED_VALUE"""),"")</f>
        <v/>
      </c>
      <c r="M76" s="39" t="str">
        <f ca="1">IFERROR(__xludf.DUMMYFUNCTION("""COMPUTED_VALUE"""),"")</f>
        <v/>
      </c>
      <c r="N76" s="39" t="str">
        <f ca="1">IFERROR(__xludf.DUMMYFUNCTION("""COMPUTED_VALUE"""),"")</f>
        <v/>
      </c>
      <c r="O76" s="39" t="str">
        <f ca="1">IFERROR(__xludf.DUMMYFUNCTION("""COMPUTED_VALUE"""),"")</f>
        <v/>
      </c>
      <c r="P76" s="39" t="str">
        <f ca="1">IFERROR(__xludf.DUMMYFUNCTION("""COMPUTED_VALUE"""),"")</f>
        <v/>
      </c>
      <c r="Q76" s="39" t="str">
        <f ca="1">IFERROR(__xludf.DUMMYFUNCTION("""COMPUTED_VALUE"""),"")</f>
        <v/>
      </c>
      <c r="R76" s="39" t="str">
        <f ca="1">IFERROR(__xludf.DUMMYFUNCTION("""COMPUTED_VALUE"""),"")</f>
        <v/>
      </c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20.25" customHeight="1" x14ac:dyDescent="0.25">
      <c r="A77" s="5"/>
      <c r="B77" s="35"/>
      <c r="C77" s="36"/>
      <c r="D77" s="37"/>
      <c r="E77" s="36"/>
      <c r="F77" s="36"/>
      <c r="G77" s="38" t="str">
        <f ca="1">IFERROR(__xludf.DUMMYFUNCTION("""COMPUTED_VALUE"""),"")</f>
        <v/>
      </c>
      <c r="H77" s="38" t="str">
        <f ca="1">IFERROR(__xludf.DUMMYFUNCTION("""COMPUTED_VALUE"""),"")</f>
        <v/>
      </c>
      <c r="I77" s="38" t="str">
        <f ca="1">IFERROR(__xludf.DUMMYFUNCTION("""COMPUTED_VALUE"""),"")</f>
        <v/>
      </c>
      <c r="J77" s="39" t="str">
        <f ca="1">IFERROR(__xludf.DUMMYFUNCTION("""COMPUTED_VALUE"""),"")</f>
        <v/>
      </c>
      <c r="K77" s="39" t="str">
        <f ca="1">IFERROR(__xludf.DUMMYFUNCTION("""COMPUTED_VALUE"""),"")</f>
        <v/>
      </c>
      <c r="L77" s="39" t="str">
        <f ca="1">IFERROR(__xludf.DUMMYFUNCTION("""COMPUTED_VALUE"""),"")</f>
        <v/>
      </c>
      <c r="M77" s="39" t="str">
        <f ca="1">IFERROR(__xludf.DUMMYFUNCTION("""COMPUTED_VALUE"""),"")</f>
        <v/>
      </c>
      <c r="N77" s="39" t="str">
        <f ca="1">IFERROR(__xludf.DUMMYFUNCTION("""COMPUTED_VALUE"""),"")</f>
        <v/>
      </c>
      <c r="O77" s="39" t="str">
        <f ca="1">IFERROR(__xludf.DUMMYFUNCTION("""COMPUTED_VALUE"""),"")</f>
        <v/>
      </c>
      <c r="P77" s="39" t="str">
        <f ca="1">IFERROR(__xludf.DUMMYFUNCTION("""COMPUTED_VALUE"""),"")</f>
        <v/>
      </c>
      <c r="Q77" s="39" t="str">
        <f ca="1">IFERROR(__xludf.DUMMYFUNCTION("""COMPUTED_VALUE"""),"")</f>
        <v/>
      </c>
      <c r="R77" s="39" t="str">
        <f ca="1">IFERROR(__xludf.DUMMYFUNCTION("""COMPUTED_VALUE"""),"")</f>
        <v/>
      </c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20.25" customHeight="1" x14ac:dyDescent="0.25">
      <c r="A78" s="5"/>
      <c r="B78" s="35"/>
      <c r="C78" s="36"/>
      <c r="D78" s="37"/>
      <c r="E78" s="36"/>
      <c r="F78" s="36"/>
      <c r="G78" s="38" t="str">
        <f ca="1">IFERROR(__xludf.DUMMYFUNCTION("""COMPUTED_VALUE"""),"")</f>
        <v/>
      </c>
      <c r="H78" s="38" t="str">
        <f ca="1">IFERROR(__xludf.DUMMYFUNCTION("""COMPUTED_VALUE"""),"")</f>
        <v/>
      </c>
      <c r="I78" s="38" t="str">
        <f ca="1">IFERROR(__xludf.DUMMYFUNCTION("""COMPUTED_VALUE"""),"")</f>
        <v/>
      </c>
      <c r="J78" s="39" t="str">
        <f ca="1">IFERROR(__xludf.DUMMYFUNCTION("""COMPUTED_VALUE"""),"")</f>
        <v/>
      </c>
      <c r="K78" s="39" t="str">
        <f ca="1">IFERROR(__xludf.DUMMYFUNCTION("""COMPUTED_VALUE"""),"")</f>
        <v/>
      </c>
      <c r="L78" s="39" t="str">
        <f ca="1">IFERROR(__xludf.DUMMYFUNCTION("""COMPUTED_VALUE"""),"")</f>
        <v/>
      </c>
      <c r="M78" s="39" t="str">
        <f ca="1">IFERROR(__xludf.DUMMYFUNCTION("""COMPUTED_VALUE"""),"")</f>
        <v/>
      </c>
      <c r="N78" s="39" t="str">
        <f ca="1">IFERROR(__xludf.DUMMYFUNCTION("""COMPUTED_VALUE"""),"")</f>
        <v/>
      </c>
      <c r="O78" s="39" t="str">
        <f ca="1">IFERROR(__xludf.DUMMYFUNCTION("""COMPUTED_VALUE"""),"")</f>
        <v/>
      </c>
      <c r="P78" s="39" t="str">
        <f ca="1">IFERROR(__xludf.DUMMYFUNCTION("""COMPUTED_VALUE"""),"")</f>
        <v/>
      </c>
      <c r="Q78" s="39" t="str">
        <f ca="1">IFERROR(__xludf.DUMMYFUNCTION("""COMPUTED_VALUE"""),"")</f>
        <v/>
      </c>
      <c r="R78" s="39" t="str">
        <f ca="1">IFERROR(__xludf.DUMMYFUNCTION("""COMPUTED_VALUE"""),"")</f>
        <v/>
      </c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20.25" customHeight="1" x14ac:dyDescent="0.25">
      <c r="A79" s="5"/>
      <c r="B79" s="35"/>
      <c r="C79" s="36"/>
      <c r="D79" s="37"/>
      <c r="E79" s="36"/>
      <c r="F79" s="36"/>
      <c r="G79" s="38" t="str">
        <f ca="1">IFERROR(__xludf.DUMMYFUNCTION("""COMPUTED_VALUE"""),"")</f>
        <v/>
      </c>
      <c r="H79" s="38" t="str">
        <f ca="1">IFERROR(__xludf.DUMMYFUNCTION("""COMPUTED_VALUE"""),"")</f>
        <v/>
      </c>
      <c r="I79" s="38" t="str">
        <f ca="1">IFERROR(__xludf.DUMMYFUNCTION("""COMPUTED_VALUE"""),"")</f>
        <v/>
      </c>
      <c r="J79" s="39" t="str">
        <f ca="1">IFERROR(__xludf.DUMMYFUNCTION("""COMPUTED_VALUE"""),"")</f>
        <v/>
      </c>
      <c r="K79" s="39" t="str">
        <f ca="1">IFERROR(__xludf.DUMMYFUNCTION("""COMPUTED_VALUE"""),"")</f>
        <v/>
      </c>
      <c r="L79" s="39" t="str">
        <f ca="1">IFERROR(__xludf.DUMMYFUNCTION("""COMPUTED_VALUE"""),"")</f>
        <v/>
      </c>
      <c r="M79" s="39" t="str">
        <f ca="1">IFERROR(__xludf.DUMMYFUNCTION("""COMPUTED_VALUE"""),"")</f>
        <v/>
      </c>
      <c r="N79" s="39" t="str">
        <f ca="1">IFERROR(__xludf.DUMMYFUNCTION("""COMPUTED_VALUE"""),"")</f>
        <v/>
      </c>
      <c r="O79" s="39" t="str">
        <f ca="1">IFERROR(__xludf.DUMMYFUNCTION("""COMPUTED_VALUE"""),"")</f>
        <v/>
      </c>
      <c r="P79" s="39" t="str">
        <f ca="1">IFERROR(__xludf.DUMMYFUNCTION("""COMPUTED_VALUE"""),"")</f>
        <v/>
      </c>
      <c r="Q79" s="39" t="str">
        <f ca="1">IFERROR(__xludf.DUMMYFUNCTION("""COMPUTED_VALUE"""),"")</f>
        <v/>
      </c>
      <c r="R79" s="39" t="str">
        <f ca="1">IFERROR(__xludf.DUMMYFUNCTION("""COMPUTED_VALUE"""),"")</f>
        <v/>
      </c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20.25" customHeight="1" x14ac:dyDescent="0.25">
      <c r="A80" s="5"/>
      <c r="B80" s="35"/>
      <c r="C80" s="36"/>
      <c r="D80" s="37"/>
      <c r="E80" s="36"/>
      <c r="F80" s="36"/>
      <c r="G80" s="38" t="str">
        <f ca="1">IFERROR(__xludf.DUMMYFUNCTION("""COMPUTED_VALUE"""),"")</f>
        <v/>
      </c>
      <c r="H80" s="38" t="str">
        <f ca="1">IFERROR(__xludf.DUMMYFUNCTION("""COMPUTED_VALUE"""),"")</f>
        <v/>
      </c>
      <c r="I80" s="38" t="str">
        <f ca="1">IFERROR(__xludf.DUMMYFUNCTION("""COMPUTED_VALUE"""),"")</f>
        <v/>
      </c>
      <c r="J80" s="39" t="str">
        <f ca="1">IFERROR(__xludf.DUMMYFUNCTION("""COMPUTED_VALUE"""),"")</f>
        <v/>
      </c>
      <c r="K80" s="39" t="str">
        <f ca="1">IFERROR(__xludf.DUMMYFUNCTION("""COMPUTED_VALUE"""),"")</f>
        <v/>
      </c>
      <c r="L80" s="39" t="str">
        <f ca="1">IFERROR(__xludf.DUMMYFUNCTION("""COMPUTED_VALUE"""),"")</f>
        <v/>
      </c>
      <c r="M80" s="39" t="str">
        <f ca="1">IFERROR(__xludf.DUMMYFUNCTION("""COMPUTED_VALUE"""),"")</f>
        <v/>
      </c>
      <c r="N80" s="39" t="str">
        <f ca="1">IFERROR(__xludf.DUMMYFUNCTION("""COMPUTED_VALUE"""),"")</f>
        <v/>
      </c>
      <c r="O80" s="39" t="str">
        <f ca="1">IFERROR(__xludf.DUMMYFUNCTION("""COMPUTED_VALUE"""),"")</f>
        <v/>
      </c>
      <c r="P80" s="39" t="str">
        <f ca="1">IFERROR(__xludf.DUMMYFUNCTION("""COMPUTED_VALUE"""),"")</f>
        <v/>
      </c>
      <c r="Q80" s="39" t="str">
        <f ca="1">IFERROR(__xludf.DUMMYFUNCTION("""COMPUTED_VALUE"""),"")</f>
        <v/>
      </c>
      <c r="R80" s="39" t="str">
        <f ca="1">IFERROR(__xludf.DUMMYFUNCTION("""COMPUTED_VALUE"""),"")</f>
        <v/>
      </c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20.25" customHeight="1" x14ac:dyDescent="0.25">
      <c r="A81" s="5"/>
      <c r="B81" s="35"/>
      <c r="C81" s="36"/>
      <c r="D81" s="37"/>
      <c r="E81" s="36"/>
      <c r="F81" s="36"/>
      <c r="G81" s="38" t="str">
        <f ca="1">IFERROR(__xludf.DUMMYFUNCTION("""COMPUTED_VALUE"""),"")</f>
        <v/>
      </c>
      <c r="H81" s="38" t="str">
        <f ca="1">IFERROR(__xludf.DUMMYFUNCTION("""COMPUTED_VALUE"""),"")</f>
        <v/>
      </c>
      <c r="I81" s="38" t="str">
        <f ca="1">IFERROR(__xludf.DUMMYFUNCTION("""COMPUTED_VALUE"""),"")</f>
        <v/>
      </c>
      <c r="J81" s="39" t="str">
        <f ca="1">IFERROR(__xludf.DUMMYFUNCTION("""COMPUTED_VALUE"""),"")</f>
        <v/>
      </c>
      <c r="K81" s="39" t="str">
        <f ca="1">IFERROR(__xludf.DUMMYFUNCTION("""COMPUTED_VALUE"""),"")</f>
        <v/>
      </c>
      <c r="L81" s="39" t="str">
        <f ca="1">IFERROR(__xludf.DUMMYFUNCTION("""COMPUTED_VALUE"""),"")</f>
        <v/>
      </c>
      <c r="M81" s="39" t="str">
        <f ca="1">IFERROR(__xludf.DUMMYFUNCTION("""COMPUTED_VALUE"""),"")</f>
        <v/>
      </c>
      <c r="N81" s="39" t="str">
        <f ca="1">IFERROR(__xludf.DUMMYFUNCTION("""COMPUTED_VALUE"""),"")</f>
        <v/>
      </c>
      <c r="O81" s="39" t="str">
        <f ca="1">IFERROR(__xludf.DUMMYFUNCTION("""COMPUTED_VALUE"""),"")</f>
        <v/>
      </c>
      <c r="P81" s="39" t="str">
        <f ca="1">IFERROR(__xludf.DUMMYFUNCTION("""COMPUTED_VALUE"""),"")</f>
        <v/>
      </c>
      <c r="Q81" s="39" t="str">
        <f ca="1">IFERROR(__xludf.DUMMYFUNCTION("""COMPUTED_VALUE"""),"")</f>
        <v/>
      </c>
      <c r="R81" s="39" t="str">
        <f ca="1">IFERROR(__xludf.DUMMYFUNCTION("""COMPUTED_VALUE"""),"")</f>
        <v/>
      </c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20.25" customHeight="1" x14ac:dyDescent="0.25">
      <c r="A82" s="5"/>
      <c r="B82" s="35"/>
      <c r="C82" s="36"/>
      <c r="D82" s="37"/>
      <c r="E82" s="36"/>
      <c r="F82" s="36"/>
      <c r="G82" s="38" t="str">
        <f ca="1">IFERROR(__xludf.DUMMYFUNCTION("""COMPUTED_VALUE"""),"")</f>
        <v/>
      </c>
      <c r="H82" s="38" t="str">
        <f ca="1">IFERROR(__xludf.DUMMYFUNCTION("""COMPUTED_VALUE"""),"")</f>
        <v/>
      </c>
      <c r="I82" s="38" t="str">
        <f ca="1">IFERROR(__xludf.DUMMYFUNCTION("""COMPUTED_VALUE"""),"")</f>
        <v/>
      </c>
      <c r="J82" s="39" t="str">
        <f ca="1">IFERROR(__xludf.DUMMYFUNCTION("""COMPUTED_VALUE"""),"")</f>
        <v/>
      </c>
      <c r="K82" s="39" t="str">
        <f ca="1">IFERROR(__xludf.DUMMYFUNCTION("""COMPUTED_VALUE"""),"")</f>
        <v/>
      </c>
      <c r="L82" s="39" t="str">
        <f ca="1">IFERROR(__xludf.DUMMYFUNCTION("""COMPUTED_VALUE"""),"")</f>
        <v/>
      </c>
      <c r="M82" s="39" t="str">
        <f ca="1">IFERROR(__xludf.DUMMYFUNCTION("""COMPUTED_VALUE"""),"")</f>
        <v/>
      </c>
      <c r="N82" s="39" t="str">
        <f ca="1">IFERROR(__xludf.DUMMYFUNCTION("""COMPUTED_VALUE"""),"")</f>
        <v/>
      </c>
      <c r="O82" s="39" t="str">
        <f ca="1">IFERROR(__xludf.DUMMYFUNCTION("""COMPUTED_VALUE"""),"")</f>
        <v/>
      </c>
      <c r="P82" s="39" t="str">
        <f ca="1">IFERROR(__xludf.DUMMYFUNCTION("""COMPUTED_VALUE"""),"")</f>
        <v/>
      </c>
      <c r="Q82" s="39" t="str">
        <f ca="1">IFERROR(__xludf.DUMMYFUNCTION("""COMPUTED_VALUE"""),"")</f>
        <v/>
      </c>
      <c r="R82" s="39" t="str">
        <f ca="1">IFERROR(__xludf.DUMMYFUNCTION("""COMPUTED_VALUE"""),"")</f>
        <v/>
      </c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20.25" customHeight="1" x14ac:dyDescent="0.25">
      <c r="A83" s="5"/>
      <c r="B83" s="35"/>
      <c r="C83" s="36"/>
      <c r="D83" s="37"/>
      <c r="E83" s="36"/>
      <c r="F83" s="36"/>
      <c r="G83" s="38" t="str">
        <f ca="1">IFERROR(__xludf.DUMMYFUNCTION("""COMPUTED_VALUE"""),"")</f>
        <v/>
      </c>
      <c r="H83" s="38" t="str">
        <f ca="1">IFERROR(__xludf.DUMMYFUNCTION("""COMPUTED_VALUE"""),"")</f>
        <v/>
      </c>
      <c r="I83" s="38" t="str">
        <f ca="1">IFERROR(__xludf.DUMMYFUNCTION("""COMPUTED_VALUE"""),"")</f>
        <v/>
      </c>
      <c r="J83" s="39" t="str">
        <f ca="1">IFERROR(__xludf.DUMMYFUNCTION("""COMPUTED_VALUE"""),"")</f>
        <v/>
      </c>
      <c r="K83" s="39" t="str">
        <f ca="1">IFERROR(__xludf.DUMMYFUNCTION("""COMPUTED_VALUE"""),"")</f>
        <v/>
      </c>
      <c r="L83" s="39" t="str">
        <f ca="1">IFERROR(__xludf.DUMMYFUNCTION("""COMPUTED_VALUE"""),"")</f>
        <v/>
      </c>
      <c r="M83" s="39" t="str">
        <f ca="1">IFERROR(__xludf.DUMMYFUNCTION("""COMPUTED_VALUE"""),"")</f>
        <v/>
      </c>
      <c r="N83" s="39" t="str">
        <f ca="1">IFERROR(__xludf.DUMMYFUNCTION("""COMPUTED_VALUE"""),"")</f>
        <v/>
      </c>
      <c r="O83" s="39" t="str">
        <f ca="1">IFERROR(__xludf.DUMMYFUNCTION("""COMPUTED_VALUE"""),"")</f>
        <v/>
      </c>
      <c r="P83" s="39" t="str">
        <f ca="1">IFERROR(__xludf.DUMMYFUNCTION("""COMPUTED_VALUE"""),"")</f>
        <v/>
      </c>
      <c r="Q83" s="39" t="str">
        <f ca="1">IFERROR(__xludf.DUMMYFUNCTION("""COMPUTED_VALUE"""),"")</f>
        <v/>
      </c>
      <c r="R83" s="39" t="str">
        <f ca="1">IFERROR(__xludf.DUMMYFUNCTION("""COMPUTED_VALUE"""),"")</f>
        <v/>
      </c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20.25" customHeight="1" x14ac:dyDescent="0.25">
      <c r="A84" s="5"/>
      <c r="B84" s="35"/>
      <c r="C84" s="36"/>
      <c r="D84" s="37"/>
      <c r="E84" s="36"/>
      <c r="F84" s="36"/>
      <c r="G84" s="38" t="str">
        <f ca="1">IFERROR(__xludf.DUMMYFUNCTION("""COMPUTED_VALUE"""),"")</f>
        <v/>
      </c>
      <c r="H84" s="38" t="str">
        <f ca="1">IFERROR(__xludf.DUMMYFUNCTION("""COMPUTED_VALUE"""),"")</f>
        <v/>
      </c>
      <c r="I84" s="38" t="str">
        <f ca="1">IFERROR(__xludf.DUMMYFUNCTION("""COMPUTED_VALUE"""),"")</f>
        <v/>
      </c>
      <c r="J84" s="39" t="str">
        <f ca="1">IFERROR(__xludf.DUMMYFUNCTION("""COMPUTED_VALUE"""),"")</f>
        <v/>
      </c>
      <c r="K84" s="39" t="str">
        <f ca="1">IFERROR(__xludf.DUMMYFUNCTION("""COMPUTED_VALUE"""),"")</f>
        <v/>
      </c>
      <c r="L84" s="39" t="str">
        <f ca="1">IFERROR(__xludf.DUMMYFUNCTION("""COMPUTED_VALUE"""),"")</f>
        <v/>
      </c>
      <c r="M84" s="39" t="str">
        <f ca="1">IFERROR(__xludf.DUMMYFUNCTION("""COMPUTED_VALUE"""),"")</f>
        <v/>
      </c>
      <c r="N84" s="39" t="str">
        <f ca="1">IFERROR(__xludf.DUMMYFUNCTION("""COMPUTED_VALUE"""),"")</f>
        <v/>
      </c>
      <c r="O84" s="39" t="str">
        <f ca="1">IFERROR(__xludf.DUMMYFUNCTION("""COMPUTED_VALUE"""),"")</f>
        <v/>
      </c>
      <c r="P84" s="39" t="str">
        <f ca="1">IFERROR(__xludf.DUMMYFUNCTION("""COMPUTED_VALUE"""),"")</f>
        <v/>
      </c>
      <c r="Q84" s="39" t="str">
        <f ca="1">IFERROR(__xludf.DUMMYFUNCTION("""COMPUTED_VALUE"""),"")</f>
        <v/>
      </c>
      <c r="R84" s="39" t="str">
        <f ca="1">IFERROR(__xludf.DUMMYFUNCTION("""COMPUTED_VALUE"""),"")</f>
        <v/>
      </c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20.25" customHeight="1" x14ac:dyDescent="0.25">
      <c r="A85" s="5"/>
      <c r="B85" s="35"/>
      <c r="C85" s="36"/>
      <c r="D85" s="37"/>
      <c r="E85" s="36"/>
      <c r="F85" s="36"/>
      <c r="G85" s="38" t="str">
        <f ca="1">IFERROR(__xludf.DUMMYFUNCTION("""COMPUTED_VALUE"""),"")</f>
        <v/>
      </c>
      <c r="H85" s="38" t="str">
        <f ca="1">IFERROR(__xludf.DUMMYFUNCTION("""COMPUTED_VALUE"""),"")</f>
        <v/>
      </c>
      <c r="I85" s="38" t="str">
        <f ca="1">IFERROR(__xludf.DUMMYFUNCTION("""COMPUTED_VALUE"""),"")</f>
        <v/>
      </c>
      <c r="J85" s="39" t="str">
        <f ca="1">IFERROR(__xludf.DUMMYFUNCTION("""COMPUTED_VALUE"""),"")</f>
        <v/>
      </c>
      <c r="K85" s="39" t="str">
        <f ca="1">IFERROR(__xludf.DUMMYFUNCTION("""COMPUTED_VALUE"""),"")</f>
        <v/>
      </c>
      <c r="L85" s="39" t="str">
        <f ca="1">IFERROR(__xludf.DUMMYFUNCTION("""COMPUTED_VALUE"""),"")</f>
        <v/>
      </c>
      <c r="M85" s="39" t="str">
        <f ca="1">IFERROR(__xludf.DUMMYFUNCTION("""COMPUTED_VALUE"""),"")</f>
        <v/>
      </c>
      <c r="N85" s="39" t="str">
        <f ca="1">IFERROR(__xludf.DUMMYFUNCTION("""COMPUTED_VALUE"""),"")</f>
        <v/>
      </c>
      <c r="O85" s="39" t="str">
        <f ca="1">IFERROR(__xludf.DUMMYFUNCTION("""COMPUTED_VALUE"""),"")</f>
        <v/>
      </c>
      <c r="P85" s="39" t="str">
        <f ca="1">IFERROR(__xludf.DUMMYFUNCTION("""COMPUTED_VALUE"""),"")</f>
        <v/>
      </c>
      <c r="Q85" s="39" t="str">
        <f ca="1">IFERROR(__xludf.DUMMYFUNCTION("""COMPUTED_VALUE"""),"")</f>
        <v/>
      </c>
      <c r="R85" s="39" t="str">
        <f ca="1">IFERROR(__xludf.DUMMYFUNCTION("""COMPUTED_VALUE"""),"")</f>
        <v/>
      </c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20.25" customHeight="1" x14ac:dyDescent="0.25">
      <c r="A86" s="5"/>
      <c r="B86" s="35"/>
      <c r="C86" s="36"/>
      <c r="D86" s="37"/>
      <c r="E86" s="36"/>
      <c r="F86" s="36"/>
      <c r="G86" s="38" t="str">
        <f ca="1">IFERROR(__xludf.DUMMYFUNCTION("""COMPUTED_VALUE"""),"")</f>
        <v/>
      </c>
      <c r="H86" s="38" t="str">
        <f ca="1">IFERROR(__xludf.DUMMYFUNCTION("""COMPUTED_VALUE"""),"")</f>
        <v/>
      </c>
      <c r="I86" s="38" t="str">
        <f ca="1">IFERROR(__xludf.DUMMYFUNCTION("""COMPUTED_VALUE"""),"")</f>
        <v/>
      </c>
      <c r="J86" s="39" t="str">
        <f ca="1">IFERROR(__xludf.DUMMYFUNCTION("""COMPUTED_VALUE"""),"")</f>
        <v/>
      </c>
      <c r="K86" s="39" t="str">
        <f ca="1">IFERROR(__xludf.DUMMYFUNCTION("""COMPUTED_VALUE"""),"")</f>
        <v/>
      </c>
      <c r="L86" s="39" t="str">
        <f ca="1">IFERROR(__xludf.DUMMYFUNCTION("""COMPUTED_VALUE"""),"")</f>
        <v/>
      </c>
      <c r="M86" s="39" t="str">
        <f ca="1">IFERROR(__xludf.DUMMYFUNCTION("""COMPUTED_VALUE"""),"")</f>
        <v/>
      </c>
      <c r="N86" s="39" t="str">
        <f ca="1">IFERROR(__xludf.DUMMYFUNCTION("""COMPUTED_VALUE"""),"")</f>
        <v/>
      </c>
      <c r="O86" s="39" t="str">
        <f ca="1">IFERROR(__xludf.DUMMYFUNCTION("""COMPUTED_VALUE"""),"")</f>
        <v/>
      </c>
      <c r="P86" s="39" t="str">
        <f ca="1">IFERROR(__xludf.DUMMYFUNCTION("""COMPUTED_VALUE"""),"")</f>
        <v/>
      </c>
      <c r="Q86" s="39" t="str">
        <f ca="1">IFERROR(__xludf.DUMMYFUNCTION("""COMPUTED_VALUE"""),"")</f>
        <v/>
      </c>
      <c r="R86" s="39" t="str">
        <f ca="1">IFERROR(__xludf.DUMMYFUNCTION("""COMPUTED_VALUE"""),"")</f>
        <v/>
      </c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20.25" customHeight="1" x14ac:dyDescent="0.25">
      <c r="A87" s="5"/>
      <c r="B87" s="35"/>
      <c r="C87" s="36"/>
      <c r="D87" s="37"/>
      <c r="E87" s="36"/>
      <c r="F87" s="36"/>
      <c r="G87" s="38" t="str">
        <f ca="1">IFERROR(__xludf.DUMMYFUNCTION("""COMPUTED_VALUE"""),"")</f>
        <v/>
      </c>
      <c r="H87" s="38" t="str">
        <f ca="1">IFERROR(__xludf.DUMMYFUNCTION("""COMPUTED_VALUE"""),"")</f>
        <v/>
      </c>
      <c r="I87" s="38" t="str">
        <f ca="1">IFERROR(__xludf.DUMMYFUNCTION("""COMPUTED_VALUE"""),"")</f>
        <v/>
      </c>
      <c r="J87" s="39" t="str">
        <f ca="1">IFERROR(__xludf.DUMMYFUNCTION("""COMPUTED_VALUE"""),"")</f>
        <v/>
      </c>
      <c r="K87" s="39" t="str">
        <f ca="1">IFERROR(__xludf.DUMMYFUNCTION("""COMPUTED_VALUE"""),"")</f>
        <v/>
      </c>
      <c r="L87" s="39" t="str">
        <f ca="1">IFERROR(__xludf.DUMMYFUNCTION("""COMPUTED_VALUE"""),"")</f>
        <v/>
      </c>
      <c r="M87" s="39" t="str">
        <f ca="1">IFERROR(__xludf.DUMMYFUNCTION("""COMPUTED_VALUE"""),"")</f>
        <v/>
      </c>
      <c r="N87" s="39" t="str">
        <f ca="1">IFERROR(__xludf.DUMMYFUNCTION("""COMPUTED_VALUE"""),"")</f>
        <v/>
      </c>
      <c r="O87" s="39" t="str">
        <f ca="1">IFERROR(__xludf.DUMMYFUNCTION("""COMPUTED_VALUE"""),"")</f>
        <v/>
      </c>
      <c r="P87" s="39" t="str">
        <f ca="1">IFERROR(__xludf.DUMMYFUNCTION("""COMPUTED_VALUE"""),"")</f>
        <v/>
      </c>
      <c r="Q87" s="39" t="str">
        <f ca="1">IFERROR(__xludf.DUMMYFUNCTION("""COMPUTED_VALUE"""),"")</f>
        <v/>
      </c>
      <c r="R87" s="39" t="str">
        <f ca="1">IFERROR(__xludf.DUMMYFUNCTION("""COMPUTED_VALUE"""),"")</f>
        <v/>
      </c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20.25" customHeight="1" x14ac:dyDescent="0.25">
      <c r="A88" s="5"/>
      <c r="B88" s="35"/>
      <c r="C88" s="36"/>
      <c r="D88" s="37"/>
      <c r="E88" s="36"/>
      <c r="F88" s="36"/>
      <c r="G88" s="38" t="str">
        <f ca="1">IFERROR(__xludf.DUMMYFUNCTION("""COMPUTED_VALUE"""),"")</f>
        <v/>
      </c>
      <c r="H88" s="38" t="str">
        <f ca="1">IFERROR(__xludf.DUMMYFUNCTION("""COMPUTED_VALUE"""),"")</f>
        <v/>
      </c>
      <c r="I88" s="38" t="str">
        <f ca="1">IFERROR(__xludf.DUMMYFUNCTION("""COMPUTED_VALUE"""),"")</f>
        <v/>
      </c>
      <c r="J88" s="39" t="str">
        <f ca="1">IFERROR(__xludf.DUMMYFUNCTION("""COMPUTED_VALUE"""),"")</f>
        <v/>
      </c>
      <c r="K88" s="39" t="str">
        <f ca="1">IFERROR(__xludf.DUMMYFUNCTION("""COMPUTED_VALUE"""),"")</f>
        <v/>
      </c>
      <c r="L88" s="39" t="str">
        <f ca="1">IFERROR(__xludf.DUMMYFUNCTION("""COMPUTED_VALUE"""),"")</f>
        <v/>
      </c>
      <c r="M88" s="39" t="str">
        <f ca="1">IFERROR(__xludf.DUMMYFUNCTION("""COMPUTED_VALUE"""),"")</f>
        <v/>
      </c>
      <c r="N88" s="39" t="str">
        <f ca="1">IFERROR(__xludf.DUMMYFUNCTION("""COMPUTED_VALUE"""),"")</f>
        <v/>
      </c>
      <c r="O88" s="39" t="str">
        <f ca="1">IFERROR(__xludf.DUMMYFUNCTION("""COMPUTED_VALUE"""),"")</f>
        <v/>
      </c>
      <c r="P88" s="39" t="str">
        <f ca="1">IFERROR(__xludf.DUMMYFUNCTION("""COMPUTED_VALUE"""),"")</f>
        <v/>
      </c>
      <c r="Q88" s="39" t="str">
        <f ca="1">IFERROR(__xludf.DUMMYFUNCTION("""COMPUTED_VALUE"""),"")</f>
        <v/>
      </c>
      <c r="R88" s="39" t="str">
        <f ca="1">IFERROR(__xludf.DUMMYFUNCTION("""COMPUTED_VALUE"""),"")</f>
        <v/>
      </c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20.25" customHeight="1" x14ac:dyDescent="0.25">
      <c r="A89" s="5"/>
      <c r="B89" s="35"/>
      <c r="C89" s="36"/>
      <c r="D89" s="37"/>
      <c r="E89" s="36"/>
      <c r="F89" s="36"/>
      <c r="G89" s="38" t="str">
        <f ca="1">IFERROR(__xludf.DUMMYFUNCTION("""COMPUTED_VALUE"""),"")</f>
        <v/>
      </c>
      <c r="H89" s="38" t="str">
        <f ca="1">IFERROR(__xludf.DUMMYFUNCTION("""COMPUTED_VALUE"""),"")</f>
        <v/>
      </c>
      <c r="I89" s="38" t="str">
        <f ca="1">IFERROR(__xludf.DUMMYFUNCTION("""COMPUTED_VALUE"""),"")</f>
        <v/>
      </c>
      <c r="J89" s="39" t="str">
        <f ca="1">IFERROR(__xludf.DUMMYFUNCTION("""COMPUTED_VALUE"""),"")</f>
        <v/>
      </c>
      <c r="K89" s="39" t="str">
        <f ca="1">IFERROR(__xludf.DUMMYFUNCTION("""COMPUTED_VALUE"""),"")</f>
        <v/>
      </c>
      <c r="L89" s="39" t="str">
        <f ca="1">IFERROR(__xludf.DUMMYFUNCTION("""COMPUTED_VALUE"""),"")</f>
        <v/>
      </c>
      <c r="M89" s="39" t="str">
        <f ca="1">IFERROR(__xludf.DUMMYFUNCTION("""COMPUTED_VALUE"""),"")</f>
        <v/>
      </c>
      <c r="N89" s="39" t="str">
        <f ca="1">IFERROR(__xludf.DUMMYFUNCTION("""COMPUTED_VALUE"""),"")</f>
        <v/>
      </c>
      <c r="O89" s="39" t="str">
        <f ca="1">IFERROR(__xludf.DUMMYFUNCTION("""COMPUTED_VALUE"""),"")</f>
        <v/>
      </c>
      <c r="P89" s="39" t="str">
        <f ca="1">IFERROR(__xludf.DUMMYFUNCTION("""COMPUTED_VALUE"""),"")</f>
        <v/>
      </c>
      <c r="Q89" s="39" t="str">
        <f ca="1">IFERROR(__xludf.DUMMYFUNCTION("""COMPUTED_VALUE"""),"")</f>
        <v/>
      </c>
      <c r="R89" s="39" t="str">
        <f ca="1">IFERROR(__xludf.DUMMYFUNCTION("""COMPUTED_VALUE"""),"")</f>
        <v/>
      </c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20.25" customHeight="1" x14ac:dyDescent="0.25">
      <c r="A90" s="5"/>
      <c r="B90" s="35"/>
      <c r="C90" s="36"/>
      <c r="D90" s="37"/>
      <c r="E90" s="36"/>
      <c r="F90" s="36"/>
      <c r="G90" s="38" t="str">
        <f ca="1">IFERROR(__xludf.DUMMYFUNCTION("""COMPUTED_VALUE"""),"")</f>
        <v/>
      </c>
      <c r="H90" s="38" t="str">
        <f ca="1">IFERROR(__xludf.DUMMYFUNCTION("""COMPUTED_VALUE"""),"")</f>
        <v/>
      </c>
      <c r="I90" s="38" t="str">
        <f ca="1">IFERROR(__xludf.DUMMYFUNCTION("""COMPUTED_VALUE"""),"")</f>
        <v/>
      </c>
      <c r="J90" s="39" t="str">
        <f ca="1">IFERROR(__xludf.DUMMYFUNCTION("""COMPUTED_VALUE"""),"")</f>
        <v/>
      </c>
      <c r="K90" s="39" t="str">
        <f ca="1">IFERROR(__xludf.DUMMYFUNCTION("""COMPUTED_VALUE"""),"")</f>
        <v/>
      </c>
      <c r="L90" s="39" t="str">
        <f ca="1">IFERROR(__xludf.DUMMYFUNCTION("""COMPUTED_VALUE"""),"")</f>
        <v/>
      </c>
      <c r="M90" s="39" t="str">
        <f ca="1">IFERROR(__xludf.DUMMYFUNCTION("""COMPUTED_VALUE"""),"")</f>
        <v/>
      </c>
      <c r="N90" s="39" t="str">
        <f ca="1">IFERROR(__xludf.DUMMYFUNCTION("""COMPUTED_VALUE"""),"")</f>
        <v/>
      </c>
      <c r="O90" s="39" t="str">
        <f ca="1">IFERROR(__xludf.DUMMYFUNCTION("""COMPUTED_VALUE"""),"")</f>
        <v/>
      </c>
      <c r="P90" s="39" t="str">
        <f ca="1">IFERROR(__xludf.DUMMYFUNCTION("""COMPUTED_VALUE"""),"")</f>
        <v/>
      </c>
      <c r="Q90" s="39" t="str">
        <f ca="1">IFERROR(__xludf.DUMMYFUNCTION("""COMPUTED_VALUE"""),"")</f>
        <v/>
      </c>
      <c r="R90" s="39" t="str">
        <f ca="1">IFERROR(__xludf.DUMMYFUNCTION("""COMPUTED_VALUE"""),"")</f>
        <v/>
      </c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20.25" customHeight="1" x14ac:dyDescent="0.25">
      <c r="A91" s="5"/>
      <c r="B91" s="35"/>
      <c r="C91" s="36"/>
      <c r="D91" s="37"/>
      <c r="E91" s="36"/>
      <c r="F91" s="36"/>
      <c r="G91" s="38" t="str">
        <f ca="1">IFERROR(__xludf.DUMMYFUNCTION("""COMPUTED_VALUE"""),"")</f>
        <v/>
      </c>
      <c r="H91" s="38" t="str">
        <f ca="1">IFERROR(__xludf.DUMMYFUNCTION("""COMPUTED_VALUE"""),"")</f>
        <v/>
      </c>
      <c r="I91" s="38" t="str">
        <f ca="1">IFERROR(__xludf.DUMMYFUNCTION("""COMPUTED_VALUE"""),"")</f>
        <v/>
      </c>
      <c r="J91" s="39" t="str">
        <f ca="1">IFERROR(__xludf.DUMMYFUNCTION("""COMPUTED_VALUE"""),"")</f>
        <v/>
      </c>
      <c r="K91" s="39" t="str">
        <f ca="1">IFERROR(__xludf.DUMMYFUNCTION("""COMPUTED_VALUE"""),"")</f>
        <v/>
      </c>
      <c r="L91" s="39" t="str">
        <f ca="1">IFERROR(__xludf.DUMMYFUNCTION("""COMPUTED_VALUE"""),"")</f>
        <v/>
      </c>
      <c r="M91" s="39" t="str">
        <f ca="1">IFERROR(__xludf.DUMMYFUNCTION("""COMPUTED_VALUE"""),"")</f>
        <v/>
      </c>
      <c r="N91" s="39" t="str">
        <f ca="1">IFERROR(__xludf.DUMMYFUNCTION("""COMPUTED_VALUE"""),"")</f>
        <v/>
      </c>
      <c r="O91" s="39" t="str">
        <f ca="1">IFERROR(__xludf.DUMMYFUNCTION("""COMPUTED_VALUE"""),"")</f>
        <v/>
      </c>
      <c r="P91" s="39" t="str">
        <f ca="1">IFERROR(__xludf.DUMMYFUNCTION("""COMPUTED_VALUE"""),"")</f>
        <v/>
      </c>
      <c r="Q91" s="39" t="str">
        <f ca="1">IFERROR(__xludf.DUMMYFUNCTION("""COMPUTED_VALUE"""),"")</f>
        <v/>
      </c>
      <c r="R91" s="39" t="str">
        <f ca="1">IFERROR(__xludf.DUMMYFUNCTION("""COMPUTED_VALUE"""),"")</f>
        <v/>
      </c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20.25" customHeight="1" x14ac:dyDescent="0.25">
      <c r="A92" s="5"/>
      <c r="B92" s="35"/>
      <c r="C92" s="36"/>
      <c r="D92" s="37"/>
      <c r="E92" s="36"/>
      <c r="F92" s="36"/>
      <c r="G92" s="38" t="str">
        <f ca="1">IFERROR(__xludf.DUMMYFUNCTION("""COMPUTED_VALUE"""),"")</f>
        <v/>
      </c>
      <c r="H92" s="38" t="str">
        <f ca="1">IFERROR(__xludf.DUMMYFUNCTION("""COMPUTED_VALUE"""),"")</f>
        <v/>
      </c>
      <c r="I92" s="38" t="str">
        <f ca="1">IFERROR(__xludf.DUMMYFUNCTION("""COMPUTED_VALUE"""),"")</f>
        <v/>
      </c>
      <c r="J92" s="39" t="str">
        <f ca="1">IFERROR(__xludf.DUMMYFUNCTION("""COMPUTED_VALUE"""),"")</f>
        <v/>
      </c>
      <c r="K92" s="39" t="str">
        <f ca="1">IFERROR(__xludf.DUMMYFUNCTION("""COMPUTED_VALUE"""),"")</f>
        <v/>
      </c>
      <c r="L92" s="39" t="str">
        <f ca="1">IFERROR(__xludf.DUMMYFUNCTION("""COMPUTED_VALUE"""),"")</f>
        <v/>
      </c>
      <c r="M92" s="39" t="str">
        <f ca="1">IFERROR(__xludf.DUMMYFUNCTION("""COMPUTED_VALUE"""),"")</f>
        <v/>
      </c>
      <c r="N92" s="39" t="str">
        <f ca="1">IFERROR(__xludf.DUMMYFUNCTION("""COMPUTED_VALUE"""),"")</f>
        <v/>
      </c>
      <c r="O92" s="39" t="str">
        <f ca="1">IFERROR(__xludf.DUMMYFUNCTION("""COMPUTED_VALUE"""),"")</f>
        <v/>
      </c>
      <c r="P92" s="39" t="str">
        <f ca="1">IFERROR(__xludf.DUMMYFUNCTION("""COMPUTED_VALUE"""),"")</f>
        <v/>
      </c>
      <c r="Q92" s="39" t="str">
        <f ca="1">IFERROR(__xludf.DUMMYFUNCTION("""COMPUTED_VALUE"""),"")</f>
        <v/>
      </c>
      <c r="R92" s="39" t="str">
        <f ca="1">IFERROR(__xludf.DUMMYFUNCTION("""COMPUTED_VALUE"""),"")</f>
        <v/>
      </c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20.25" customHeight="1" x14ac:dyDescent="0.25">
      <c r="A93" s="5"/>
      <c r="B93" s="35"/>
      <c r="C93" s="36"/>
      <c r="D93" s="37"/>
      <c r="E93" s="36"/>
      <c r="F93" s="36"/>
      <c r="G93" s="38" t="str">
        <f ca="1">IFERROR(__xludf.DUMMYFUNCTION("""COMPUTED_VALUE"""),"")</f>
        <v/>
      </c>
      <c r="H93" s="38" t="str">
        <f ca="1">IFERROR(__xludf.DUMMYFUNCTION("""COMPUTED_VALUE"""),"")</f>
        <v/>
      </c>
      <c r="I93" s="38" t="str">
        <f ca="1">IFERROR(__xludf.DUMMYFUNCTION("""COMPUTED_VALUE"""),"")</f>
        <v/>
      </c>
      <c r="J93" s="39" t="str">
        <f ca="1">IFERROR(__xludf.DUMMYFUNCTION("""COMPUTED_VALUE"""),"")</f>
        <v/>
      </c>
      <c r="K93" s="39" t="str">
        <f ca="1">IFERROR(__xludf.DUMMYFUNCTION("""COMPUTED_VALUE"""),"")</f>
        <v/>
      </c>
      <c r="L93" s="39" t="str">
        <f ca="1">IFERROR(__xludf.DUMMYFUNCTION("""COMPUTED_VALUE"""),"")</f>
        <v/>
      </c>
      <c r="M93" s="39" t="str">
        <f ca="1">IFERROR(__xludf.DUMMYFUNCTION("""COMPUTED_VALUE"""),"")</f>
        <v/>
      </c>
      <c r="N93" s="39" t="str">
        <f ca="1">IFERROR(__xludf.DUMMYFUNCTION("""COMPUTED_VALUE"""),"")</f>
        <v/>
      </c>
      <c r="O93" s="39" t="str">
        <f ca="1">IFERROR(__xludf.DUMMYFUNCTION("""COMPUTED_VALUE"""),"")</f>
        <v/>
      </c>
      <c r="P93" s="39" t="str">
        <f ca="1">IFERROR(__xludf.DUMMYFUNCTION("""COMPUTED_VALUE"""),"")</f>
        <v/>
      </c>
      <c r="Q93" s="39" t="str">
        <f ca="1">IFERROR(__xludf.DUMMYFUNCTION("""COMPUTED_VALUE"""),"")</f>
        <v/>
      </c>
      <c r="R93" s="39" t="str">
        <f ca="1">IFERROR(__xludf.DUMMYFUNCTION("""COMPUTED_VALUE"""),"")</f>
        <v/>
      </c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20.25" customHeight="1" x14ac:dyDescent="0.25">
      <c r="A94" s="5"/>
      <c r="B94" s="35"/>
      <c r="C94" s="36"/>
      <c r="D94" s="37"/>
      <c r="E94" s="36"/>
      <c r="F94" s="36"/>
      <c r="G94" s="38" t="str">
        <f ca="1">IFERROR(__xludf.DUMMYFUNCTION("""COMPUTED_VALUE"""),"")</f>
        <v/>
      </c>
      <c r="H94" s="38" t="str">
        <f ca="1">IFERROR(__xludf.DUMMYFUNCTION("""COMPUTED_VALUE"""),"")</f>
        <v/>
      </c>
      <c r="I94" s="38" t="str">
        <f ca="1">IFERROR(__xludf.DUMMYFUNCTION("""COMPUTED_VALUE"""),"")</f>
        <v/>
      </c>
      <c r="J94" s="39" t="str">
        <f ca="1">IFERROR(__xludf.DUMMYFUNCTION("""COMPUTED_VALUE"""),"")</f>
        <v/>
      </c>
      <c r="K94" s="39" t="str">
        <f ca="1">IFERROR(__xludf.DUMMYFUNCTION("""COMPUTED_VALUE"""),"")</f>
        <v/>
      </c>
      <c r="L94" s="39" t="str">
        <f ca="1">IFERROR(__xludf.DUMMYFUNCTION("""COMPUTED_VALUE"""),"")</f>
        <v/>
      </c>
      <c r="M94" s="39" t="str">
        <f ca="1">IFERROR(__xludf.DUMMYFUNCTION("""COMPUTED_VALUE"""),"")</f>
        <v/>
      </c>
      <c r="N94" s="39" t="str">
        <f ca="1">IFERROR(__xludf.DUMMYFUNCTION("""COMPUTED_VALUE"""),"")</f>
        <v/>
      </c>
      <c r="O94" s="39" t="str">
        <f ca="1">IFERROR(__xludf.DUMMYFUNCTION("""COMPUTED_VALUE"""),"")</f>
        <v/>
      </c>
      <c r="P94" s="39" t="str">
        <f ca="1">IFERROR(__xludf.DUMMYFUNCTION("""COMPUTED_VALUE"""),"")</f>
        <v/>
      </c>
      <c r="Q94" s="39" t="str">
        <f ca="1">IFERROR(__xludf.DUMMYFUNCTION("""COMPUTED_VALUE"""),"")</f>
        <v/>
      </c>
      <c r="R94" s="39" t="str">
        <f ca="1">IFERROR(__xludf.DUMMYFUNCTION("""COMPUTED_VALUE"""),"")</f>
        <v/>
      </c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20.25" customHeight="1" x14ac:dyDescent="0.25">
      <c r="A95" s="5"/>
      <c r="B95" s="35"/>
      <c r="C95" s="36"/>
      <c r="D95" s="37"/>
      <c r="E95" s="36"/>
      <c r="F95" s="36"/>
      <c r="G95" s="38" t="str">
        <f ca="1">IFERROR(__xludf.DUMMYFUNCTION("""COMPUTED_VALUE"""),"")</f>
        <v/>
      </c>
      <c r="H95" s="38" t="str">
        <f ca="1">IFERROR(__xludf.DUMMYFUNCTION("""COMPUTED_VALUE"""),"")</f>
        <v/>
      </c>
      <c r="I95" s="38" t="str">
        <f ca="1">IFERROR(__xludf.DUMMYFUNCTION("""COMPUTED_VALUE"""),"")</f>
        <v/>
      </c>
      <c r="J95" s="39" t="str">
        <f ca="1">IFERROR(__xludf.DUMMYFUNCTION("""COMPUTED_VALUE"""),"")</f>
        <v/>
      </c>
      <c r="K95" s="39" t="str">
        <f ca="1">IFERROR(__xludf.DUMMYFUNCTION("""COMPUTED_VALUE"""),"")</f>
        <v/>
      </c>
      <c r="L95" s="39" t="str">
        <f ca="1">IFERROR(__xludf.DUMMYFUNCTION("""COMPUTED_VALUE"""),"")</f>
        <v/>
      </c>
      <c r="M95" s="39" t="str">
        <f ca="1">IFERROR(__xludf.DUMMYFUNCTION("""COMPUTED_VALUE"""),"")</f>
        <v/>
      </c>
      <c r="N95" s="39" t="str">
        <f ca="1">IFERROR(__xludf.DUMMYFUNCTION("""COMPUTED_VALUE"""),"")</f>
        <v/>
      </c>
      <c r="O95" s="39" t="str">
        <f ca="1">IFERROR(__xludf.DUMMYFUNCTION("""COMPUTED_VALUE"""),"")</f>
        <v/>
      </c>
      <c r="P95" s="39" t="str">
        <f ca="1">IFERROR(__xludf.DUMMYFUNCTION("""COMPUTED_VALUE"""),"")</f>
        <v/>
      </c>
      <c r="Q95" s="39" t="str">
        <f ca="1">IFERROR(__xludf.DUMMYFUNCTION("""COMPUTED_VALUE"""),"")</f>
        <v/>
      </c>
      <c r="R95" s="39" t="str">
        <f ca="1">IFERROR(__xludf.DUMMYFUNCTION("""COMPUTED_VALUE"""),"")</f>
        <v/>
      </c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20.25" customHeight="1" x14ac:dyDescent="0.25">
      <c r="A96" s="5"/>
      <c r="B96" s="35"/>
      <c r="C96" s="36"/>
      <c r="D96" s="37"/>
      <c r="E96" s="36"/>
      <c r="F96" s="36"/>
      <c r="G96" s="38" t="str">
        <f ca="1">IFERROR(__xludf.DUMMYFUNCTION("""COMPUTED_VALUE"""),"")</f>
        <v/>
      </c>
      <c r="H96" s="38" t="str">
        <f ca="1">IFERROR(__xludf.DUMMYFUNCTION("""COMPUTED_VALUE"""),"")</f>
        <v/>
      </c>
      <c r="I96" s="38" t="str">
        <f ca="1">IFERROR(__xludf.DUMMYFUNCTION("""COMPUTED_VALUE"""),"")</f>
        <v/>
      </c>
      <c r="J96" s="39" t="str">
        <f ca="1">IFERROR(__xludf.DUMMYFUNCTION("""COMPUTED_VALUE"""),"")</f>
        <v/>
      </c>
      <c r="K96" s="39" t="str">
        <f ca="1">IFERROR(__xludf.DUMMYFUNCTION("""COMPUTED_VALUE"""),"")</f>
        <v/>
      </c>
      <c r="L96" s="39" t="str">
        <f ca="1">IFERROR(__xludf.DUMMYFUNCTION("""COMPUTED_VALUE"""),"")</f>
        <v/>
      </c>
      <c r="M96" s="39" t="str">
        <f ca="1">IFERROR(__xludf.DUMMYFUNCTION("""COMPUTED_VALUE"""),"")</f>
        <v/>
      </c>
      <c r="N96" s="39" t="str">
        <f ca="1">IFERROR(__xludf.DUMMYFUNCTION("""COMPUTED_VALUE"""),"")</f>
        <v/>
      </c>
      <c r="O96" s="39" t="str">
        <f ca="1">IFERROR(__xludf.DUMMYFUNCTION("""COMPUTED_VALUE"""),"")</f>
        <v/>
      </c>
      <c r="P96" s="39" t="str">
        <f ca="1">IFERROR(__xludf.DUMMYFUNCTION("""COMPUTED_VALUE"""),"")</f>
        <v/>
      </c>
      <c r="Q96" s="39" t="str">
        <f ca="1">IFERROR(__xludf.DUMMYFUNCTION("""COMPUTED_VALUE"""),"")</f>
        <v/>
      </c>
      <c r="R96" s="39" t="str">
        <f ca="1">IFERROR(__xludf.DUMMYFUNCTION("""COMPUTED_VALUE"""),"")</f>
        <v/>
      </c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20.25" customHeight="1" x14ac:dyDescent="0.25">
      <c r="A97" s="5"/>
      <c r="B97" s="35"/>
      <c r="C97" s="36"/>
      <c r="D97" s="37"/>
      <c r="E97" s="36"/>
      <c r="F97" s="36"/>
      <c r="G97" s="38" t="str">
        <f ca="1">IFERROR(__xludf.DUMMYFUNCTION("""COMPUTED_VALUE"""),"")</f>
        <v/>
      </c>
      <c r="H97" s="38" t="str">
        <f ca="1">IFERROR(__xludf.DUMMYFUNCTION("""COMPUTED_VALUE"""),"")</f>
        <v/>
      </c>
      <c r="I97" s="38" t="str">
        <f ca="1">IFERROR(__xludf.DUMMYFUNCTION("""COMPUTED_VALUE"""),"")</f>
        <v/>
      </c>
      <c r="J97" s="39" t="str">
        <f ca="1">IFERROR(__xludf.DUMMYFUNCTION("""COMPUTED_VALUE"""),"")</f>
        <v/>
      </c>
      <c r="K97" s="39" t="str">
        <f ca="1">IFERROR(__xludf.DUMMYFUNCTION("""COMPUTED_VALUE"""),"")</f>
        <v/>
      </c>
      <c r="L97" s="39" t="str">
        <f ca="1">IFERROR(__xludf.DUMMYFUNCTION("""COMPUTED_VALUE"""),"")</f>
        <v/>
      </c>
      <c r="M97" s="39" t="str">
        <f ca="1">IFERROR(__xludf.DUMMYFUNCTION("""COMPUTED_VALUE"""),"")</f>
        <v/>
      </c>
      <c r="N97" s="39" t="str">
        <f ca="1">IFERROR(__xludf.DUMMYFUNCTION("""COMPUTED_VALUE"""),"")</f>
        <v/>
      </c>
      <c r="O97" s="39" t="str">
        <f ca="1">IFERROR(__xludf.DUMMYFUNCTION("""COMPUTED_VALUE"""),"")</f>
        <v/>
      </c>
      <c r="P97" s="39" t="str">
        <f ca="1">IFERROR(__xludf.DUMMYFUNCTION("""COMPUTED_VALUE"""),"")</f>
        <v/>
      </c>
      <c r="Q97" s="39" t="str">
        <f ca="1">IFERROR(__xludf.DUMMYFUNCTION("""COMPUTED_VALUE"""),"")</f>
        <v/>
      </c>
      <c r="R97" s="39" t="str">
        <f ca="1">IFERROR(__xludf.DUMMYFUNCTION("""COMPUTED_VALUE"""),"")</f>
        <v/>
      </c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20.25" customHeight="1" x14ac:dyDescent="0.25">
      <c r="A98" s="5"/>
      <c r="B98" s="35"/>
      <c r="C98" s="36"/>
      <c r="D98" s="37"/>
      <c r="E98" s="36"/>
      <c r="F98" s="36"/>
      <c r="G98" s="38" t="str">
        <f ca="1">IFERROR(__xludf.DUMMYFUNCTION("""COMPUTED_VALUE"""),"")</f>
        <v/>
      </c>
      <c r="H98" s="38" t="str">
        <f ca="1">IFERROR(__xludf.DUMMYFUNCTION("""COMPUTED_VALUE"""),"")</f>
        <v/>
      </c>
      <c r="I98" s="38" t="str">
        <f ca="1">IFERROR(__xludf.DUMMYFUNCTION("""COMPUTED_VALUE"""),"")</f>
        <v/>
      </c>
      <c r="J98" s="39" t="str">
        <f ca="1">IFERROR(__xludf.DUMMYFUNCTION("""COMPUTED_VALUE"""),"")</f>
        <v/>
      </c>
      <c r="K98" s="39" t="str">
        <f ca="1">IFERROR(__xludf.DUMMYFUNCTION("""COMPUTED_VALUE"""),"")</f>
        <v/>
      </c>
      <c r="L98" s="39" t="str">
        <f ca="1">IFERROR(__xludf.DUMMYFUNCTION("""COMPUTED_VALUE"""),"")</f>
        <v/>
      </c>
      <c r="M98" s="39" t="str">
        <f ca="1">IFERROR(__xludf.DUMMYFUNCTION("""COMPUTED_VALUE"""),"")</f>
        <v/>
      </c>
      <c r="N98" s="39" t="str">
        <f ca="1">IFERROR(__xludf.DUMMYFUNCTION("""COMPUTED_VALUE"""),"")</f>
        <v/>
      </c>
      <c r="O98" s="39" t="str">
        <f ca="1">IFERROR(__xludf.DUMMYFUNCTION("""COMPUTED_VALUE"""),"")</f>
        <v/>
      </c>
      <c r="P98" s="39" t="str">
        <f ca="1">IFERROR(__xludf.DUMMYFUNCTION("""COMPUTED_VALUE"""),"")</f>
        <v/>
      </c>
      <c r="Q98" s="39" t="str">
        <f ca="1">IFERROR(__xludf.DUMMYFUNCTION("""COMPUTED_VALUE"""),"")</f>
        <v/>
      </c>
      <c r="R98" s="39" t="str">
        <f ca="1">IFERROR(__xludf.DUMMYFUNCTION("""COMPUTED_VALUE"""),"")</f>
        <v/>
      </c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20.25" customHeight="1" x14ac:dyDescent="0.25">
      <c r="A99" s="5"/>
      <c r="B99" s="35"/>
      <c r="C99" s="36"/>
      <c r="D99" s="37"/>
      <c r="E99" s="36"/>
      <c r="F99" s="36"/>
      <c r="G99" s="38" t="str">
        <f ca="1">IFERROR(__xludf.DUMMYFUNCTION("""COMPUTED_VALUE"""),"")</f>
        <v/>
      </c>
      <c r="H99" s="38" t="str">
        <f ca="1">IFERROR(__xludf.DUMMYFUNCTION("""COMPUTED_VALUE"""),"")</f>
        <v/>
      </c>
      <c r="I99" s="38" t="str">
        <f ca="1">IFERROR(__xludf.DUMMYFUNCTION("""COMPUTED_VALUE"""),"")</f>
        <v/>
      </c>
      <c r="J99" s="39" t="str">
        <f ca="1">IFERROR(__xludf.DUMMYFUNCTION("""COMPUTED_VALUE"""),"")</f>
        <v/>
      </c>
      <c r="K99" s="39" t="str">
        <f ca="1">IFERROR(__xludf.DUMMYFUNCTION("""COMPUTED_VALUE"""),"")</f>
        <v/>
      </c>
      <c r="L99" s="39" t="str">
        <f ca="1">IFERROR(__xludf.DUMMYFUNCTION("""COMPUTED_VALUE"""),"")</f>
        <v/>
      </c>
      <c r="M99" s="39" t="str">
        <f ca="1">IFERROR(__xludf.DUMMYFUNCTION("""COMPUTED_VALUE"""),"")</f>
        <v/>
      </c>
      <c r="N99" s="39" t="str">
        <f ca="1">IFERROR(__xludf.DUMMYFUNCTION("""COMPUTED_VALUE"""),"")</f>
        <v/>
      </c>
      <c r="O99" s="39" t="str">
        <f ca="1">IFERROR(__xludf.DUMMYFUNCTION("""COMPUTED_VALUE"""),"")</f>
        <v/>
      </c>
      <c r="P99" s="39" t="str">
        <f ca="1">IFERROR(__xludf.DUMMYFUNCTION("""COMPUTED_VALUE"""),"")</f>
        <v/>
      </c>
      <c r="Q99" s="39" t="str">
        <f ca="1">IFERROR(__xludf.DUMMYFUNCTION("""COMPUTED_VALUE"""),"")</f>
        <v/>
      </c>
      <c r="R99" s="39" t="str">
        <f ca="1">IFERROR(__xludf.DUMMYFUNCTION("""COMPUTED_VALUE"""),"")</f>
        <v/>
      </c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20.25" customHeight="1" x14ac:dyDescent="0.25">
      <c r="A100" s="5"/>
      <c r="B100" s="35"/>
      <c r="C100" s="36"/>
      <c r="D100" s="37"/>
      <c r="E100" s="36"/>
      <c r="F100" s="36"/>
      <c r="G100" s="38" t="str">
        <f ca="1">IFERROR(__xludf.DUMMYFUNCTION("""COMPUTED_VALUE"""),"")</f>
        <v/>
      </c>
      <c r="H100" s="38" t="str">
        <f ca="1">IFERROR(__xludf.DUMMYFUNCTION("""COMPUTED_VALUE"""),"")</f>
        <v/>
      </c>
      <c r="I100" s="38" t="str">
        <f ca="1">IFERROR(__xludf.DUMMYFUNCTION("""COMPUTED_VALUE"""),"")</f>
        <v/>
      </c>
      <c r="J100" s="39" t="str">
        <f ca="1">IFERROR(__xludf.DUMMYFUNCTION("""COMPUTED_VALUE"""),"")</f>
        <v/>
      </c>
      <c r="K100" s="39" t="str">
        <f ca="1">IFERROR(__xludf.DUMMYFUNCTION("""COMPUTED_VALUE"""),"")</f>
        <v/>
      </c>
      <c r="L100" s="39" t="str">
        <f ca="1">IFERROR(__xludf.DUMMYFUNCTION("""COMPUTED_VALUE"""),"")</f>
        <v/>
      </c>
      <c r="M100" s="39" t="str">
        <f ca="1">IFERROR(__xludf.DUMMYFUNCTION("""COMPUTED_VALUE"""),"")</f>
        <v/>
      </c>
      <c r="N100" s="39" t="str">
        <f ca="1">IFERROR(__xludf.DUMMYFUNCTION("""COMPUTED_VALUE"""),"")</f>
        <v/>
      </c>
      <c r="O100" s="39" t="str">
        <f ca="1">IFERROR(__xludf.DUMMYFUNCTION("""COMPUTED_VALUE"""),"")</f>
        <v/>
      </c>
      <c r="P100" s="39" t="str">
        <f ca="1">IFERROR(__xludf.DUMMYFUNCTION("""COMPUTED_VALUE"""),"")</f>
        <v/>
      </c>
      <c r="Q100" s="39" t="str">
        <f ca="1">IFERROR(__xludf.DUMMYFUNCTION("""COMPUTED_VALUE"""),"")</f>
        <v/>
      </c>
      <c r="R100" s="39" t="str">
        <f ca="1">IFERROR(__xludf.DUMMYFUNCTION("""COMPUTED_VALUE"""),"")</f>
        <v/>
      </c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20.25" customHeight="1" x14ac:dyDescent="0.25">
      <c r="A101" s="5"/>
      <c r="B101" s="35"/>
      <c r="C101" s="36"/>
      <c r="D101" s="37"/>
      <c r="E101" s="36"/>
      <c r="F101" s="36"/>
      <c r="G101" s="38" t="str">
        <f ca="1">IFERROR(__xludf.DUMMYFUNCTION("""COMPUTED_VALUE"""),"")</f>
        <v/>
      </c>
      <c r="H101" s="38" t="str">
        <f ca="1">IFERROR(__xludf.DUMMYFUNCTION("""COMPUTED_VALUE"""),"")</f>
        <v/>
      </c>
      <c r="I101" s="38" t="str">
        <f ca="1">IFERROR(__xludf.DUMMYFUNCTION("""COMPUTED_VALUE"""),"")</f>
        <v/>
      </c>
      <c r="J101" s="39" t="str">
        <f ca="1">IFERROR(__xludf.DUMMYFUNCTION("""COMPUTED_VALUE"""),"")</f>
        <v/>
      </c>
      <c r="K101" s="39" t="str">
        <f ca="1">IFERROR(__xludf.DUMMYFUNCTION("""COMPUTED_VALUE"""),"")</f>
        <v/>
      </c>
      <c r="L101" s="39" t="str">
        <f ca="1">IFERROR(__xludf.DUMMYFUNCTION("""COMPUTED_VALUE"""),"")</f>
        <v/>
      </c>
      <c r="M101" s="39" t="str">
        <f ca="1">IFERROR(__xludf.DUMMYFUNCTION("""COMPUTED_VALUE"""),"")</f>
        <v/>
      </c>
      <c r="N101" s="39" t="str">
        <f ca="1">IFERROR(__xludf.DUMMYFUNCTION("""COMPUTED_VALUE"""),"")</f>
        <v/>
      </c>
      <c r="O101" s="39" t="str">
        <f ca="1">IFERROR(__xludf.DUMMYFUNCTION("""COMPUTED_VALUE"""),"")</f>
        <v/>
      </c>
      <c r="P101" s="39" t="str">
        <f ca="1">IFERROR(__xludf.DUMMYFUNCTION("""COMPUTED_VALUE"""),"")</f>
        <v/>
      </c>
      <c r="Q101" s="39" t="str">
        <f ca="1">IFERROR(__xludf.DUMMYFUNCTION("""COMPUTED_VALUE"""),"")</f>
        <v/>
      </c>
      <c r="R101" s="39" t="str">
        <f ca="1">IFERROR(__xludf.DUMMYFUNCTION("""COMPUTED_VALUE"""),"")</f>
        <v/>
      </c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20.25" customHeight="1" x14ac:dyDescent="0.25">
      <c r="A102" s="5"/>
      <c r="B102" s="35"/>
      <c r="C102" s="36"/>
      <c r="D102" s="37"/>
      <c r="E102" s="36"/>
      <c r="F102" s="36"/>
      <c r="G102" s="38" t="str">
        <f ca="1">IFERROR(__xludf.DUMMYFUNCTION("""COMPUTED_VALUE"""),"")</f>
        <v/>
      </c>
      <c r="H102" s="38" t="str">
        <f ca="1">IFERROR(__xludf.DUMMYFUNCTION("""COMPUTED_VALUE"""),"")</f>
        <v/>
      </c>
      <c r="I102" s="38" t="str">
        <f ca="1">IFERROR(__xludf.DUMMYFUNCTION("""COMPUTED_VALUE"""),"")</f>
        <v/>
      </c>
      <c r="J102" s="39" t="str">
        <f ca="1">IFERROR(__xludf.DUMMYFUNCTION("""COMPUTED_VALUE"""),"")</f>
        <v/>
      </c>
      <c r="K102" s="39" t="str">
        <f ca="1">IFERROR(__xludf.DUMMYFUNCTION("""COMPUTED_VALUE"""),"")</f>
        <v/>
      </c>
      <c r="L102" s="39" t="str">
        <f ca="1">IFERROR(__xludf.DUMMYFUNCTION("""COMPUTED_VALUE"""),"")</f>
        <v/>
      </c>
      <c r="M102" s="39" t="str">
        <f ca="1">IFERROR(__xludf.DUMMYFUNCTION("""COMPUTED_VALUE"""),"")</f>
        <v/>
      </c>
      <c r="N102" s="39" t="str">
        <f ca="1">IFERROR(__xludf.DUMMYFUNCTION("""COMPUTED_VALUE"""),"")</f>
        <v/>
      </c>
      <c r="O102" s="39" t="str">
        <f ca="1">IFERROR(__xludf.DUMMYFUNCTION("""COMPUTED_VALUE"""),"")</f>
        <v/>
      </c>
      <c r="P102" s="39" t="str">
        <f ca="1">IFERROR(__xludf.DUMMYFUNCTION("""COMPUTED_VALUE"""),"")</f>
        <v/>
      </c>
      <c r="Q102" s="39" t="str">
        <f ca="1">IFERROR(__xludf.DUMMYFUNCTION("""COMPUTED_VALUE"""),"")</f>
        <v/>
      </c>
      <c r="R102" s="39" t="str">
        <f ca="1">IFERROR(__xludf.DUMMYFUNCTION("""COMPUTED_VALUE"""),"")</f>
        <v/>
      </c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20.25" customHeight="1" x14ac:dyDescent="0.25">
      <c r="A103" s="5"/>
      <c r="B103" s="35"/>
      <c r="C103" s="36"/>
      <c r="D103" s="37"/>
      <c r="E103" s="36"/>
      <c r="F103" s="36"/>
      <c r="G103" s="38" t="str">
        <f ca="1">IFERROR(__xludf.DUMMYFUNCTION("""COMPUTED_VALUE"""),"")</f>
        <v/>
      </c>
      <c r="H103" s="38" t="str">
        <f ca="1">IFERROR(__xludf.DUMMYFUNCTION("""COMPUTED_VALUE"""),"")</f>
        <v/>
      </c>
      <c r="I103" s="38" t="str">
        <f ca="1">IFERROR(__xludf.DUMMYFUNCTION("""COMPUTED_VALUE"""),"")</f>
        <v/>
      </c>
      <c r="J103" s="39" t="str">
        <f ca="1">IFERROR(__xludf.DUMMYFUNCTION("""COMPUTED_VALUE"""),"")</f>
        <v/>
      </c>
      <c r="K103" s="39" t="str">
        <f ca="1">IFERROR(__xludf.DUMMYFUNCTION("""COMPUTED_VALUE"""),"")</f>
        <v/>
      </c>
      <c r="L103" s="39" t="str">
        <f ca="1">IFERROR(__xludf.DUMMYFUNCTION("""COMPUTED_VALUE"""),"")</f>
        <v/>
      </c>
      <c r="M103" s="39" t="str">
        <f ca="1">IFERROR(__xludf.DUMMYFUNCTION("""COMPUTED_VALUE"""),"")</f>
        <v/>
      </c>
      <c r="N103" s="39" t="str">
        <f ca="1">IFERROR(__xludf.DUMMYFUNCTION("""COMPUTED_VALUE"""),"")</f>
        <v/>
      </c>
      <c r="O103" s="39" t="str">
        <f ca="1">IFERROR(__xludf.DUMMYFUNCTION("""COMPUTED_VALUE"""),"")</f>
        <v/>
      </c>
      <c r="P103" s="39" t="str">
        <f ca="1">IFERROR(__xludf.DUMMYFUNCTION("""COMPUTED_VALUE"""),"")</f>
        <v/>
      </c>
      <c r="Q103" s="39" t="str">
        <f ca="1">IFERROR(__xludf.DUMMYFUNCTION("""COMPUTED_VALUE"""),"")</f>
        <v/>
      </c>
      <c r="R103" s="39" t="str">
        <f ca="1">IFERROR(__xludf.DUMMYFUNCTION("""COMPUTED_VALUE"""),"")</f>
        <v/>
      </c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20.25" customHeight="1" x14ac:dyDescent="0.25">
      <c r="A104" s="5"/>
      <c r="B104" s="35"/>
      <c r="C104" s="36"/>
      <c r="D104" s="37"/>
      <c r="E104" s="36"/>
      <c r="F104" s="36"/>
      <c r="G104" s="38" t="str">
        <f ca="1">IFERROR(__xludf.DUMMYFUNCTION("""COMPUTED_VALUE"""),"")</f>
        <v/>
      </c>
      <c r="H104" s="38" t="str">
        <f ca="1">IFERROR(__xludf.DUMMYFUNCTION("""COMPUTED_VALUE"""),"")</f>
        <v/>
      </c>
      <c r="I104" s="38" t="str">
        <f ca="1">IFERROR(__xludf.DUMMYFUNCTION("""COMPUTED_VALUE"""),"")</f>
        <v/>
      </c>
      <c r="J104" s="39" t="str">
        <f ca="1">IFERROR(__xludf.DUMMYFUNCTION("""COMPUTED_VALUE"""),"")</f>
        <v/>
      </c>
      <c r="K104" s="39" t="str">
        <f ca="1">IFERROR(__xludf.DUMMYFUNCTION("""COMPUTED_VALUE"""),"")</f>
        <v/>
      </c>
      <c r="L104" s="39" t="str">
        <f ca="1">IFERROR(__xludf.DUMMYFUNCTION("""COMPUTED_VALUE"""),"")</f>
        <v/>
      </c>
      <c r="M104" s="39" t="str">
        <f ca="1">IFERROR(__xludf.DUMMYFUNCTION("""COMPUTED_VALUE"""),"")</f>
        <v/>
      </c>
      <c r="N104" s="39" t="str">
        <f ca="1">IFERROR(__xludf.DUMMYFUNCTION("""COMPUTED_VALUE"""),"")</f>
        <v/>
      </c>
      <c r="O104" s="39" t="str">
        <f ca="1">IFERROR(__xludf.DUMMYFUNCTION("""COMPUTED_VALUE"""),"")</f>
        <v/>
      </c>
      <c r="P104" s="39" t="str">
        <f ca="1">IFERROR(__xludf.DUMMYFUNCTION("""COMPUTED_VALUE"""),"")</f>
        <v/>
      </c>
      <c r="Q104" s="39" t="str">
        <f ca="1">IFERROR(__xludf.DUMMYFUNCTION("""COMPUTED_VALUE"""),"")</f>
        <v/>
      </c>
      <c r="R104" s="39" t="str">
        <f ca="1">IFERROR(__xludf.DUMMYFUNCTION("""COMPUTED_VALUE"""),"")</f>
        <v/>
      </c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20.25" customHeight="1" x14ac:dyDescent="0.25">
      <c r="A105" s="5"/>
      <c r="B105" s="35"/>
      <c r="C105" s="36"/>
      <c r="D105" s="37"/>
      <c r="E105" s="36"/>
      <c r="F105" s="36"/>
      <c r="G105" s="38" t="str">
        <f ca="1">IFERROR(__xludf.DUMMYFUNCTION("""COMPUTED_VALUE"""),"")</f>
        <v/>
      </c>
      <c r="H105" s="38" t="str">
        <f ca="1">IFERROR(__xludf.DUMMYFUNCTION("""COMPUTED_VALUE"""),"")</f>
        <v/>
      </c>
      <c r="I105" s="38" t="str">
        <f ca="1">IFERROR(__xludf.DUMMYFUNCTION("""COMPUTED_VALUE"""),"")</f>
        <v/>
      </c>
      <c r="J105" s="39" t="str">
        <f ca="1">IFERROR(__xludf.DUMMYFUNCTION("""COMPUTED_VALUE"""),"")</f>
        <v/>
      </c>
      <c r="K105" s="39" t="str">
        <f ca="1">IFERROR(__xludf.DUMMYFUNCTION("""COMPUTED_VALUE"""),"")</f>
        <v/>
      </c>
      <c r="L105" s="39" t="str">
        <f ca="1">IFERROR(__xludf.DUMMYFUNCTION("""COMPUTED_VALUE"""),"")</f>
        <v/>
      </c>
      <c r="M105" s="39" t="str">
        <f ca="1">IFERROR(__xludf.DUMMYFUNCTION("""COMPUTED_VALUE"""),"")</f>
        <v/>
      </c>
      <c r="N105" s="39" t="str">
        <f ca="1">IFERROR(__xludf.DUMMYFUNCTION("""COMPUTED_VALUE"""),"")</f>
        <v/>
      </c>
      <c r="O105" s="39" t="str">
        <f ca="1">IFERROR(__xludf.DUMMYFUNCTION("""COMPUTED_VALUE"""),"")</f>
        <v/>
      </c>
      <c r="P105" s="39" t="str">
        <f ca="1">IFERROR(__xludf.DUMMYFUNCTION("""COMPUTED_VALUE"""),"")</f>
        <v/>
      </c>
      <c r="Q105" s="39" t="str">
        <f ca="1">IFERROR(__xludf.DUMMYFUNCTION("""COMPUTED_VALUE"""),"")</f>
        <v/>
      </c>
      <c r="R105" s="39" t="str">
        <f ca="1">IFERROR(__xludf.DUMMYFUNCTION("""COMPUTED_VALUE"""),"")</f>
        <v/>
      </c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20.25" customHeight="1" x14ac:dyDescent="0.25">
      <c r="A106" s="5"/>
      <c r="B106" s="35"/>
      <c r="C106" s="36"/>
      <c r="D106" s="37"/>
      <c r="E106" s="36"/>
      <c r="F106" s="36"/>
      <c r="G106" s="38" t="str">
        <f ca="1">IFERROR(__xludf.DUMMYFUNCTION("""COMPUTED_VALUE"""),"")</f>
        <v/>
      </c>
      <c r="H106" s="38" t="str">
        <f ca="1">IFERROR(__xludf.DUMMYFUNCTION("""COMPUTED_VALUE"""),"")</f>
        <v/>
      </c>
      <c r="I106" s="38" t="str">
        <f ca="1">IFERROR(__xludf.DUMMYFUNCTION("""COMPUTED_VALUE"""),"")</f>
        <v/>
      </c>
      <c r="J106" s="39" t="str">
        <f ca="1">IFERROR(__xludf.DUMMYFUNCTION("""COMPUTED_VALUE"""),"")</f>
        <v/>
      </c>
      <c r="K106" s="39" t="str">
        <f ca="1">IFERROR(__xludf.DUMMYFUNCTION("""COMPUTED_VALUE"""),"")</f>
        <v/>
      </c>
      <c r="L106" s="39" t="str">
        <f ca="1">IFERROR(__xludf.DUMMYFUNCTION("""COMPUTED_VALUE"""),"")</f>
        <v/>
      </c>
      <c r="M106" s="39" t="str">
        <f ca="1">IFERROR(__xludf.DUMMYFUNCTION("""COMPUTED_VALUE"""),"")</f>
        <v/>
      </c>
      <c r="N106" s="39" t="str">
        <f ca="1">IFERROR(__xludf.DUMMYFUNCTION("""COMPUTED_VALUE"""),"")</f>
        <v/>
      </c>
      <c r="O106" s="39" t="str">
        <f ca="1">IFERROR(__xludf.DUMMYFUNCTION("""COMPUTED_VALUE"""),"")</f>
        <v/>
      </c>
      <c r="P106" s="39" t="str">
        <f ca="1">IFERROR(__xludf.DUMMYFUNCTION("""COMPUTED_VALUE"""),"")</f>
        <v/>
      </c>
      <c r="Q106" s="39" t="str">
        <f ca="1">IFERROR(__xludf.DUMMYFUNCTION("""COMPUTED_VALUE"""),"")</f>
        <v/>
      </c>
      <c r="R106" s="39" t="str">
        <f ca="1">IFERROR(__xludf.DUMMYFUNCTION("""COMPUTED_VALUE"""),"")</f>
        <v/>
      </c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20.25" customHeight="1" x14ac:dyDescent="0.25">
      <c r="A107" s="5"/>
      <c r="B107" s="35"/>
      <c r="C107" s="36"/>
      <c r="D107" s="37"/>
      <c r="E107" s="36"/>
      <c r="F107" s="36"/>
      <c r="G107" s="38" t="str">
        <f ca="1">IFERROR(__xludf.DUMMYFUNCTION("""COMPUTED_VALUE"""),"")</f>
        <v/>
      </c>
      <c r="H107" s="38" t="str">
        <f ca="1">IFERROR(__xludf.DUMMYFUNCTION("""COMPUTED_VALUE"""),"")</f>
        <v/>
      </c>
      <c r="I107" s="38" t="str">
        <f ca="1">IFERROR(__xludf.DUMMYFUNCTION("""COMPUTED_VALUE"""),"")</f>
        <v/>
      </c>
      <c r="J107" s="39" t="str">
        <f ca="1">IFERROR(__xludf.DUMMYFUNCTION("""COMPUTED_VALUE"""),"")</f>
        <v/>
      </c>
      <c r="K107" s="39" t="str">
        <f ca="1">IFERROR(__xludf.DUMMYFUNCTION("""COMPUTED_VALUE"""),"")</f>
        <v/>
      </c>
      <c r="L107" s="39" t="str">
        <f ca="1">IFERROR(__xludf.DUMMYFUNCTION("""COMPUTED_VALUE"""),"")</f>
        <v/>
      </c>
      <c r="M107" s="39" t="str">
        <f ca="1">IFERROR(__xludf.DUMMYFUNCTION("""COMPUTED_VALUE"""),"")</f>
        <v/>
      </c>
      <c r="N107" s="39" t="str">
        <f ca="1">IFERROR(__xludf.DUMMYFUNCTION("""COMPUTED_VALUE"""),"")</f>
        <v/>
      </c>
      <c r="O107" s="39" t="str">
        <f ca="1">IFERROR(__xludf.DUMMYFUNCTION("""COMPUTED_VALUE"""),"")</f>
        <v/>
      </c>
      <c r="P107" s="39" t="str">
        <f ca="1">IFERROR(__xludf.DUMMYFUNCTION("""COMPUTED_VALUE"""),"")</f>
        <v/>
      </c>
      <c r="Q107" s="39" t="str">
        <f ca="1">IFERROR(__xludf.DUMMYFUNCTION("""COMPUTED_VALUE"""),"")</f>
        <v/>
      </c>
      <c r="R107" s="39" t="str">
        <f ca="1">IFERROR(__xludf.DUMMYFUNCTION("""COMPUTED_VALUE"""),"")</f>
        <v/>
      </c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20.25" customHeight="1" x14ac:dyDescent="0.25">
      <c r="A108" s="5"/>
      <c r="B108" s="35"/>
      <c r="C108" s="36"/>
      <c r="D108" s="37"/>
      <c r="E108" s="36"/>
      <c r="F108" s="36"/>
      <c r="G108" s="38" t="str">
        <f ca="1">IFERROR(__xludf.DUMMYFUNCTION("""COMPUTED_VALUE"""),"")</f>
        <v/>
      </c>
      <c r="H108" s="38" t="str">
        <f ca="1">IFERROR(__xludf.DUMMYFUNCTION("""COMPUTED_VALUE"""),"")</f>
        <v/>
      </c>
      <c r="I108" s="38" t="str">
        <f ca="1">IFERROR(__xludf.DUMMYFUNCTION("""COMPUTED_VALUE"""),"")</f>
        <v/>
      </c>
      <c r="J108" s="39" t="str">
        <f ca="1">IFERROR(__xludf.DUMMYFUNCTION("""COMPUTED_VALUE"""),"")</f>
        <v/>
      </c>
      <c r="K108" s="39" t="str">
        <f ca="1">IFERROR(__xludf.DUMMYFUNCTION("""COMPUTED_VALUE"""),"")</f>
        <v/>
      </c>
      <c r="L108" s="39" t="str">
        <f ca="1">IFERROR(__xludf.DUMMYFUNCTION("""COMPUTED_VALUE"""),"")</f>
        <v/>
      </c>
      <c r="M108" s="39" t="str">
        <f ca="1">IFERROR(__xludf.DUMMYFUNCTION("""COMPUTED_VALUE"""),"")</f>
        <v/>
      </c>
      <c r="N108" s="39" t="str">
        <f ca="1">IFERROR(__xludf.DUMMYFUNCTION("""COMPUTED_VALUE"""),"")</f>
        <v/>
      </c>
      <c r="O108" s="39" t="str">
        <f ca="1">IFERROR(__xludf.DUMMYFUNCTION("""COMPUTED_VALUE"""),"")</f>
        <v/>
      </c>
      <c r="P108" s="39" t="str">
        <f ca="1">IFERROR(__xludf.DUMMYFUNCTION("""COMPUTED_VALUE"""),"")</f>
        <v/>
      </c>
      <c r="Q108" s="39" t="str">
        <f ca="1">IFERROR(__xludf.DUMMYFUNCTION("""COMPUTED_VALUE"""),"")</f>
        <v/>
      </c>
      <c r="R108" s="39" t="str">
        <f ca="1">IFERROR(__xludf.DUMMYFUNCTION("""COMPUTED_VALUE"""),"")</f>
        <v/>
      </c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20.25" customHeight="1" x14ac:dyDescent="0.25">
      <c r="A109" s="5"/>
      <c r="B109" s="35"/>
      <c r="C109" s="36"/>
      <c r="D109" s="37"/>
      <c r="E109" s="36"/>
      <c r="F109" s="36"/>
      <c r="G109" s="38" t="str">
        <f ca="1">IFERROR(__xludf.DUMMYFUNCTION("""COMPUTED_VALUE"""),"")</f>
        <v/>
      </c>
      <c r="H109" s="38" t="str">
        <f ca="1">IFERROR(__xludf.DUMMYFUNCTION("""COMPUTED_VALUE"""),"")</f>
        <v/>
      </c>
      <c r="I109" s="38" t="str">
        <f ca="1">IFERROR(__xludf.DUMMYFUNCTION("""COMPUTED_VALUE"""),"")</f>
        <v/>
      </c>
      <c r="J109" s="39" t="str">
        <f ca="1">IFERROR(__xludf.DUMMYFUNCTION("""COMPUTED_VALUE"""),"")</f>
        <v/>
      </c>
      <c r="K109" s="39" t="str">
        <f ca="1">IFERROR(__xludf.DUMMYFUNCTION("""COMPUTED_VALUE"""),"")</f>
        <v/>
      </c>
      <c r="L109" s="39" t="str">
        <f ca="1">IFERROR(__xludf.DUMMYFUNCTION("""COMPUTED_VALUE"""),"")</f>
        <v/>
      </c>
      <c r="M109" s="39" t="str">
        <f ca="1">IFERROR(__xludf.DUMMYFUNCTION("""COMPUTED_VALUE"""),"")</f>
        <v/>
      </c>
      <c r="N109" s="39" t="str">
        <f ca="1">IFERROR(__xludf.DUMMYFUNCTION("""COMPUTED_VALUE"""),"")</f>
        <v/>
      </c>
      <c r="O109" s="39" t="str">
        <f ca="1">IFERROR(__xludf.DUMMYFUNCTION("""COMPUTED_VALUE"""),"")</f>
        <v/>
      </c>
      <c r="P109" s="39" t="str">
        <f ca="1">IFERROR(__xludf.DUMMYFUNCTION("""COMPUTED_VALUE"""),"")</f>
        <v/>
      </c>
      <c r="Q109" s="39" t="str">
        <f ca="1">IFERROR(__xludf.DUMMYFUNCTION("""COMPUTED_VALUE"""),"")</f>
        <v/>
      </c>
      <c r="R109" s="39" t="str">
        <f ca="1">IFERROR(__xludf.DUMMYFUNCTION("""COMPUTED_VALUE"""),"")</f>
        <v/>
      </c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20.25" customHeight="1" x14ac:dyDescent="0.25">
      <c r="A110" s="5"/>
      <c r="B110" s="35"/>
      <c r="C110" s="36"/>
      <c r="D110" s="37"/>
      <c r="E110" s="36"/>
      <c r="F110" s="36"/>
      <c r="G110" s="38" t="str">
        <f ca="1">IFERROR(__xludf.DUMMYFUNCTION("""COMPUTED_VALUE"""),"")</f>
        <v/>
      </c>
      <c r="H110" s="38" t="str">
        <f ca="1">IFERROR(__xludf.DUMMYFUNCTION("""COMPUTED_VALUE"""),"")</f>
        <v/>
      </c>
      <c r="I110" s="38" t="str">
        <f ca="1">IFERROR(__xludf.DUMMYFUNCTION("""COMPUTED_VALUE"""),"")</f>
        <v/>
      </c>
      <c r="J110" s="39" t="str">
        <f ca="1">IFERROR(__xludf.DUMMYFUNCTION("""COMPUTED_VALUE"""),"")</f>
        <v/>
      </c>
      <c r="K110" s="39" t="str">
        <f ca="1">IFERROR(__xludf.DUMMYFUNCTION("""COMPUTED_VALUE"""),"")</f>
        <v/>
      </c>
      <c r="L110" s="39" t="str">
        <f ca="1">IFERROR(__xludf.DUMMYFUNCTION("""COMPUTED_VALUE"""),"")</f>
        <v/>
      </c>
      <c r="M110" s="39" t="str">
        <f ca="1">IFERROR(__xludf.DUMMYFUNCTION("""COMPUTED_VALUE"""),"")</f>
        <v/>
      </c>
      <c r="N110" s="39" t="str">
        <f ca="1">IFERROR(__xludf.DUMMYFUNCTION("""COMPUTED_VALUE"""),"")</f>
        <v/>
      </c>
      <c r="O110" s="39" t="str">
        <f ca="1">IFERROR(__xludf.DUMMYFUNCTION("""COMPUTED_VALUE"""),"")</f>
        <v/>
      </c>
      <c r="P110" s="39" t="str">
        <f ca="1">IFERROR(__xludf.DUMMYFUNCTION("""COMPUTED_VALUE"""),"")</f>
        <v/>
      </c>
      <c r="Q110" s="39" t="str">
        <f ca="1">IFERROR(__xludf.DUMMYFUNCTION("""COMPUTED_VALUE"""),"")</f>
        <v/>
      </c>
      <c r="R110" s="39" t="str">
        <f ca="1">IFERROR(__xludf.DUMMYFUNCTION("""COMPUTED_VALUE"""),"")</f>
        <v/>
      </c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20.25" customHeight="1" x14ac:dyDescent="0.25">
      <c r="A111" s="5"/>
      <c r="B111" s="35"/>
      <c r="C111" s="36"/>
      <c r="D111" s="37"/>
      <c r="E111" s="36"/>
      <c r="F111" s="36"/>
      <c r="G111" s="38" t="str">
        <f ca="1">IFERROR(__xludf.DUMMYFUNCTION("""COMPUTED_VALUE"""),"")</f>
        <v/>
      </c>
      <c r="H111" s="38" t="str">
        <f ca="1">IFERROR(__xludf.DUMMYFUNCTION("""COMPUTED_VALUE"""),"")</f>
        <v/>
      </c>
      <c r="I111" s="38" t="str">
        <f ca="1">IFERROR(__xludf.DUMMYFUNCTION("""COMPUTED_VALUE"""),"")</f>
        <v/>
      </c>
      <c r="J111" s="39" t="str">
        <f ca="1">IFERROR(__xludf.DUMMYFUNCTION("""COMPUTED_VALUE"""),"")</f>
        <v/>
      </c>
      <c r="K111" s="39" t="str">
        <f ca="1">IFERROR(__xludf.DUMMYFUNCTION("""COMPUTED_VALUE"""),"")</f>
        <v/>
      </c>
      <c r="L111" s="39" t="str">
        <f ca="1">IFERROR(__xludf.DUMMYFUNCTION("""COMPUTED_VALUE"""),"")</f>
        <v/>
      </c>
      <c r="M111" s="39" t="str">
        <f ca="1">IFERROR(__xludf.DUMMYFUNCTION("""COMPUTED_VALUE"""),"")</f>
        <v/>
      </c>
      <c r="N111" s="39" t="str">
        <f ca="1">IFERROR(__xludf.DUMMYFUNCTION("""COMPUTED_VALUE"""),"")</f>
        <v/>
      </c>
      <c r="O111" s="39" t="str">
        <f ca="1">IFERROR(__xludf.DUMMYFUNCTION("""COMPUTED_VALUE"""),"")</f>
        <v/>
      </c>
      <c r="P111" s="39" t="str">
        <f ca="1">IFERROR(__xludf.DUMMYFUNCTION("""COMPUTED_VALUE"""),"")</f>
        <v/>
      </c>
      <c r="Q111" s="39" t="str">
        <f ca="1">IFERROR(__xludf.DUMMYFUNCTION("""COMPUTED_VALUE"""),"")</f>
        <v/>
      </c>
      <c r="R111" s="39" t="str">
        <f ca="1">IFERROR(__xludf.DUMMYFUNCTION("""COMPUTED_VALUE"""),"")</f>
        <v/>
      </c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20.25" customHeight="1" x14ac:dyDescent="0.25">
      <c r="A112" s="5"/>
      <c r="B112" s="35"/>
      <c r="C112" s="36"/>
      <c r="D112" s="37"/>
      <c r="E112" s="36"/>
      <c r="F112" s="36"/>
      <c r="G112" s="38" t="str">
        <f ca="1">IFERROR(__xludf.DUMMYFUNCTION("""COMPUTED_VALUE"""),"")</f>
        <v/>
      </c>
      <c r="H112" s="38" t="str">
        <f ca="1">IFERROR(__xludf.DUMMYFUNCTION("""COMPUTED_VALUE"""),"")</f>
        <v/>
      </c>
      <c r="I112" s="38" t="str">
        <f ca="1">IFERROR(__xludf.DUMMYFUNCTION("""COMPUTED_VALUE"""),"")</f>
        <v/>
      </c>
      <c r="J112" s="39" t="str">
        <f ca="1">IFERROR(__xludf.DUMMYFUNCTION("""COMPUTED_VALUE"""),"")</f>
        <v/>
      </c>
      <c r="K112" s="39" t="str">
        <f ca="1">IFERROR(__xludf.DUMMYFUNCTION("""COMPUTED_VALUE"""),"")</f>
        <v/>
      </c>
      <c r="L112" s="39" t="str">
        <f ca="1">IFERROR(__xludf.DUMMYFUNCTION("""COMPUTED_VALUE"""),"")</f>
        <v/>
      </c>
      <c r="M112" s="39" t="str">
        <f ca="1">IFERROR(__xludf.DUMMYFUNCTION("""COMPUTED_VALUE"""),"")</f>
        <v/>
      </c>
      <c r="N112" s="39" t="str">
        <f ca="1">IFERROR(__xludf.DUMMYFUNCTION("""COMPUTED_VALUE"""),"")</f>
        <v/>
      </c>
      <c r="O112" s="39" t="str">
        <f ca="1">IFERROR(__xludf.DUMMYFUNCTION("""COMPUTED_VALUE"""),"")</f>
        <v/>
      </c>
      <c r="P112" s="39" t="str">
        <f ca="1">IFERROR(__xludf.DUMMYFUNCTION("""COMPUTED_VALUE"""),"")</f>
        <v/>
      </c>
      <c r="Q112" s="39" t="str">
        <f ca="1">IFERROR(__xludf.DUMMYFUNCTION("""COMPUTED_VALUE"""),"")</f>
        <v/>
      </c>
      <c r="R112" s="39" t="str">
        <f ca="1">IFERROR(__xludf.DUMMYFUNCTION("""COMPUTED_VALUE"""),"")</f>
        <v/>
      </c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20.25" customHeight="1" x14ac:dyDescent="0.25">
      <c r="A113" s="5"/>
      <c r="B113" s="35"/>
      <c r="C113" s="36"/>
      <c r="D113" s="37"/>
      <c r="E113" s="36"/>
      <c r="F113" s="36"/>
      <c r="G113" s="38" t="str">
        <f ca="1">IFERROR(__xludf.DUMMYFUNCTION("""COMPUTED_VALUE"""),"")</f>
        <v/>
      </c>
      <c r="H113" s="38" t="str">
        <f ca="1">IFERROR(__xludf.DUMMYFUNCTION("""COMPUTED_VALUE"""),"")</f>
        <v/>
      </c>
      <c r="I113" s="38" t="str">
        <f ca="1">IFERROR(__xludf.DUMMYFUNCTION("""COMPUTED_VALUE"""),"")</f>
        <v/>
      </c>
      <c r="J113" s="39" t="str">
        <f ca="1">IFERROR(__xludf.DUMMYFUNCTION("""COMPUTED_VALUE"""),"")</f>
        <v/>
      </c>
      <c r="K113" s="39" t="str">
        <f ca="1">IFERROR(__xludf.DUMMYFUNCTION("""COMPUTED_VALUE"""),"")</f>
        <v/>
      </c>
      <c r="L113" s="39" t="str">
        <f ca="1">IFERROR(__xludf.DUMMYFUNCTION("""COMPUTED_VALUE"""),"")</f>
        <v/>
      </c>
      <c r="M113" s="39" t="str">
        <f ca="1">IFERROR(__xludf.DUMMYFUNCTION("""COMPUTED_VALUE"""),"")</f>
        <v/>
      </c>
      <c r="N113" s="39" t="str">
        <f ca="1">IFERROR(__xludf.DUMMYFUNCTION("""COMPUTED_VALUE"""),"")</f>
        <v/>
      </c>
      <c r="O113" s="39" t="str">
        <f ca="1">IFERROR(__xludf.DUMMYFUNCTION("""COMPUTED_VALUE"""),"")</f>
        <v/>
      </c>
      <c r="P113" s="39" t="str">
        <f ca="1">IFERROR(__xludf.DUMMYFUNCTION("""COMPUTED_VALUE"""),"")</f>
        <v/>
      </c>
      <c r="Q113" s="39" t="str">
        <f ca="1">IFERROR(__xludf.DUMMYFUNCTION("""COMPUTED_VALUE"""),"")</f>
        <v/>
      </c>
      <c r="R113" s="39" t="str">
        <f ca="1">IFERROR(__xludf.DUMMYFUNCTION("""COMPUTED_VALUE"""),"")</f>
        <v/>
      </c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20.25" customHeight="1" x14ac:dyDescent="0.25">
      <c r="A114" s="5"/>
      <c r="B114" s="35"/>
      <c r="C114" s="36"/>
      <c r="D114" s="37"/>
      <c r="E114" s="36"/>
      <c r="F114" s="36"/>
      <c r="G114" s="38" t="str">
        <f ca="1">IFERROR(__xludf.DUMMYFUNCTION("""COMPUTED_VALUE"""),"")</f>
        <v/>
      </c>
      <c r="H114" s="38" t="str">
        <f ca="1">IFERROR(__xludf.DUMMYFUNCTION("""COMPUTED_VALUE"""),"")</f>
        <v/>
      </c>
      <c r="I114" s="38" t="str">
        <f ca="1">IFERROR(__xludf.DUMMYFUNCTION("""COMPUTED_VALUE"""),"")</f>
        <v/>
      </c>
      <c r="J114" s="39" t="str">
        <f ca="1">IFERROR(__xludf.DUMMYFUNCTION("""COMPUTED_VALUE"""),"")</f>
        <v/>
      </c>
      <c r="K114" s="39" t="str">
        <f ca="1">IFERROR(__xludf.DUMMYFUNCTION("""COMPUTED_VALUE"""),"")</f>
        <v/>
      </c>
      <c r="L114" s="39" t="str">
        <f ca="1">IFERROR(__xludf.DUMMYFUNCTION("""COMPUTED_VALUE"""),"")</f>
        <v/>
      </c>
      <c r="M114" s="39" t="str">
        <f ca="1">IFERROR(__xludf.DUMMYFUNCTION("""COMPUTED_VALUE"""),"")</f>
        <v/>
      </c>
      <c r="N114" s="39" t="str">
        <f ca="1">IFERROR(__xludf.DUMMYFUNCTION("""COMPUTED_VALUE"""),"")</f>
        <v/>
      </c>
      <c r="O114" s="39" t="str">
        <f ca="1">IFERROR(__xludf.DUMMYFUNCTION("""COMPUTED_VALUE"""),"")</f>
        <v/>
      </c>
      <c r="P114" s="39" t="str">
        <f ca="1">IFERROR(__xludf.DUMMYFUNCTION("""COMPUTED_VALUE"""),"")</f>
        <v/>
      </c>
      <c r="Q114" s="39" t="str">
        <f ca="1">IFERROR(__xludf.DUMMYFUNCTION("""COMPUTED_VALUE"""),"")</f>
        <v/>
      </c>
      <c r="R114" s="39" t="str">
        <f ca="1">IFERROR(__xludf.DUMMYFUNCTION("""COMPUTED_VALUE"""),"")</f>
        <v/>
      </c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20.25" customHeight="1" x14ac:dyDescent="0.25">
      <c r="A115" s="5"/>
      <c r="B115" s="35"/>
      <c r="C115" s="36"/>
      <c r="D115" s="37"/>
      <c r="E115" s="36"/>
      <c r="F115" s="36"/>
      <c r="G115" s="38" t="str">
        <f ca="1">IFERROR(__xludf.DUMMYFUNCTION("""COMPUTED_VALUE"""),"")</f>
        <v/>
      </c>
      <c r="H115" s="38" t="str">
        <f ca="1">IFERROR(__xludf.DUMMYFUNCTION("""COMPUTED_VALUE"""),"")</f>
        <v/>
      </c>
      <c r="I115" s="38" t="str">
        <f ca="1">IFERROR(__xludf.DUMMYFUNCTION("""COMPUTED_VALUE"""),"")</f>
        <v/>
      </c>
      <c r="J115" s="39" t="str">
        <f ca="1">IFERROR(__xludf.DUMMYFUNCTION("""COMPUTED_VALUE"""),"")</f>
        <v/>
      </c>
      <c r="K115" s="39" t="str">
        <f ca="1">IFERROR(__xludf.DUMMYFUNCTION("""COMPUTED_VALUE"""),"")</f>
        <v/>
      </c>
      <c r="L115" s="39" t="str">
        <f ca="1">IFERROR(__xludf.DUMMYFUNCTION("""COMPUTED_VALUE"""),"")</f>
        <v/>
      </c>
      <c r="M115" s="39" t="str">
        <f ca="1">IFERROR(__xludf.DUMMYFUNCTION("""COMPUTED_VALUE"""),"")</f>
        <v/>
      </c>
      <c r="N115" s="39" t="str">
        <f ca="1">IFERROR(__xludf.DUMMYFUNCTION("""COMPUTED_VALUE"""),"")</f>
        <v/>
      </c>
      <c r="O115" s="39" t="str">
        <f ca="1">IFERROR(__xludf.DUMMYFUNCTION("""COMPUTED_VALUE"""),"")</f>
        <v/>
      </c>
      <c r="P115" s="39" t="str">
        <f ca="1">IFERROR(__xludf.DUMMYFUNCTION("""COMPUTED_VALUE"""),"")</f>
        <v/>
      </c>
      <c r="Q115" s="39" t="str">
        <f ca="1">IFERROR(__xludf.DUMMYFUNCTION("""COMPUTED_VALUE"""),"")</f>
        <v/>
      </c>
      <c r="R115" s="39" t="str">
        <f ca="1">IFERROR(__xludf.DUMMYFUNCTION("""COMPUTED_VALUE"""),"")</f>
        <v/>
      </c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20.25" customHeight="1" x14ac:dyDescent="0.25">
      <c r="A116" s="5"/>
      <c r="B116" s="35"/>
      <c r="C116" s="36"/>
      <c r="D116" s="37"/>
      <c r="E116" s="36"/>
      <c r="F116" s="36"/>
      <c r="G116" s="38" t="str">
        <f ca="1">IFERROR(__xludf.DUMMYFUNCTION("""COMPUTED_VALUE"""),"")</f>
        <v/>
      </c>
      <c r="H116" s="38" t="str">
        <f ca="1">IFERROR(__xludf.DUMMYFUNCTION("""COMPUTED_VALUE"""),"")</f>
        <v/>
      </c>
      <c r="I116" s="38" t="str">
        <f ca="1">IFERROR(__xludf.DUMMYFUNCTION("""COMPUTED_VALUE"""),"")</f>
        <v/>
      </c>
      <c r="J116" s="39" t="str">
        <f ca="1">IFERROR(__xludf.DUMMYFUNCTION("""COMPUTED_VALUE"""),"")</f>
        <v/>
      </c>
      <c r="K116" s="39" t="str">
        <f ca="1">IFERROR(__xludf.DUMMYFUNCTION("""COMPUTED_VALUE"""),"")</f>
        <v/>
      </c>
      <c r="L116" s="39" t="str">
        <f ca="1">IFERROR(__xludf.DUMMYFUNCTION("""COMPUTED_VALUE"""),"")</f>
        <v/>
      </c>
      <c r="M116" s="39" t="str">
        <f ca="1">IFERROR(__xludf.DUMMYFUNCTION("""COMPUTED_VALUE"""),"")</f>
        <v/>
      </c>
      <c r="N116" s="39" t="str">
        <f ca="1">IFERROR(__xludf.DUMMYFUNCTION("""COMPUTED_VALUE"""),"")</f>
        <v/>
      </c>
      <c r="O116" s="39" t="str">
        <f ca="1">IFERROR(__xludf.DUMMYFUNCTION("""COMPUTED_VALUE"""),"")</f>
        <v/>
      </c>
      <c r="P116" s="39" t="str">
        <f ca="1">IFERROR(__xludf.DUMMYFUNCTION("""COMPUTED_VALUE"""),"")</f>
        <v/>
      </c>
      <c r="Q116" s="39" t="str">
        <f ca="1">IFERROR(__xludf.DUMMYFUNCTION("""COMPUTED_VALUE"""),"")</f>
        <v/>
      </c>
      <c r="R116" s="39" t="str">
        <f ca="1">IFERROR(__xludf.DUMMYFUNCTION("""COMPUTED_VALUE"""),"")</f>
        <v/>
      </c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20.25" customHeight="1" x14ac:dyDescent="0.25">
      <c r="A117" s="5"/>
      <c r="B117" s="35"/>
      <c r="C117" s="36"/>
      <c r="D117" s="37"/>
      <c r="E117" s="36"/>
      <c r="F117" s="36"/>
      <c r="G117" s="38" t="str">
        <f ca="1">IFERROR(__xludf.DUMMYFUNCTION("""COMPUTED_VALUE"""),"")</f>
        <v/>
      </c>
      <c r="H117" s="38" t="str">
        <f ca="1">IFERROR(__xludf.DUMMYFUNCTION("""COMPUTED_VALUE"""),"")</f>
        <v/>
      </c>
      <c r="I117" s="38" t="str">
        <f ca="1">IFERROR(__xludf.DUMMYFUNCTION("""COMPUTED_VALUE"""),"")</f>
        <v/>
      </c>
      <c r="J117" s="39" t="str">
        <f ca="1">IFERROR(__xludf.DUMMYFUNCTION("""COMPUTED_VALUE"""),"")</f>
        <v/>
      </c>
      <c r="K117" s="39" t="str">
        <f ca="1">IFERROR(__xludf.DUMMYFUNCTION("""COMPUTED_VALUE"""),"")</f>
        <v/>
      </c>
      <c r="L117" s="39" t="str">
        <f ca="1">IFERROR(__xludf.DUMMYFUNCTION("""COMPUTED_VALUE"""),"")</f>
        <v/>
      </c>
      <c r="M117" s="39" t="str">
        <f ca="1">IFERROR(__xludf.DUMMYFUNCTION("""COMPUTED_VALUE"""),"")</f>
        <v/>
      </c>
      <c r="N117" s="39" t="str">
        <f ca="1">IFERROR(__xludf.DUMMYFUNCTION("""COMPUTED_VALUE"""),"")</f>
        <v/>
      </c>
      <c r="O117" s="39" t="str">
        <f ca="1">IFERROR(__xludf.DUMMYFUNCTION("""COMPUTED_VALUE"""),"")</f>
        <v/>
      </c>
      <c r="P117" s="39" t="str">
        <f ca="1">IFERROR(__xludf.DUMMYFUNCTION("""COMPUTED_VALUE"""),"")</f>
        <v/>
      </c>
      <c r="Q117" s="39" t="str">
        <f ca="1">IFERROR(__xludf.DUMMYFUNCTION("""COMPUTED_VALUE"""),"")</f>
        <v/>
      </c>
      <c r="R117" s="39" t="str">
        <f ca="1">IFERROR(__xludf.DUMMYFUNCTION("""COMPUTED_VALUE"""),"")</f>
        <v/>
      </c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20.25" customHeight="1" x14ac:dyDescent="0.25">
      <c r="A118" s="5"/>
      <c r="B118" s="35"/>
      <c r="C118" s="36"/>
      <c r="D118" s="37"/>
      <c r="E118" s="36"/>
      <c r="F118" s="36"/>
      <c r="G118" s="38" t="str">
        <f ca="1">IFERROR(__xludf.DUMMYFUNCTION("""COMPUTED_VALUE"""),"")</f>
        <v/>
      </c>
      <c r="H118" s="38" t="str">
        <f ca="1">IFERROR(__xludf.DUMMYFUNCTION("""COMPUTED_VALUE"""),"")</f>
        <v/>
      </c>
      <c r="I118" s="38" t="str">
        <f ca="1">IFERROR(__xludf.DUMMYFUNCTION("""COMPUTED_VALUE"""),"")</f>
        <v/>
      </c>
      <c r="J118" s="39" t="str">
        <f ca="1">IFERROR(__xludf.DUMMYFUNCTION("""COMPUTED_VALUE"""),"")</f>
        <v/>
      </c>
      <c r="K118" s="39" t="str">
        <f ca="1">IFERROR(__xludf.DUMMYFUNCTION("""COMPUTED_VALUE"""),"")</f>
        <v/>
      </c>
      <c r="L118" s="39" t="str">
        <f ca="1">IFERROR(__xludf.DUMMYFUNCTION("""COMPUTED_VALUE"""),"")</f>
        <v/>
      </c>
      <c r="M118" s="39" t="str">
        <f ca="1">IFERROR(__xludf.DUMMYFUNCTION("""COMPUTED_VALUE"""),"")</f>
        <v/>
      </c>
      <c r="N118" s="39" t="str">
        <f ca="1">IFERROR(__xludf.DUMMYFUNCTION("""COMPUTED_VALUE"""),"")</f>
        <v/>
      </c>
      <c r="O118" s="39" t="str">
        <f ca="1">IFERROR(__xludf.DUMMYFUNCTION("""COMPUTED_VALUE"""),"")</f>
        <v/>
      </c>
      <c r="P118" s="39" t="str">
        <f ca="1">IFERROR(__xludf.DUMMYFUNCTION("""COMPUTED_VALUE"""),"")</f>
        <v/>
      </c>
      <c r="Q118" s="39" t="str">
        <f ca="1">IFERROR(__xludf.DUMMYFUNCTION("""COMPUTED_VALUE"""),"")</f>
        <v/>
      </c>
      <c r="R118" s="39" t="str">
        <f ca="1">IFERROR(__xludf.DUMMYFUNCTION("""COMPUTED_VALUE"""),"")</f>
        <v/>
      </c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20.25" customHeight="1" x14ac:dyDescent="0.25">
      <c r="A119" s="5"/>
      <c r="B119" s="35"/>
      <c r="C119" s="36"/>
      <c r="D119" s="37"/>
      <c r="E119" s="36"/>
      <c r="F119" s="36"/>
      <c r="G119" s="38" t="str">
        <f ca="1">IFERROR(__xludf.DUMMYFUNCTION("""COMPUTED_VALUE"""),"")</f>
        <v/>
      </c>
      <c r="H119" s="38" t="str">
        <f ca="1">IFERROR(__xludf.DUMMYFUNCTION("""COMPUTED_VALUE"""),"")</f>
        <v/>
      </c>
      <c r="I119" s="38" t="str">
        <f ca="1">IFERROR(__xludf.DUMMYFUNCTION("""COMPUTED_VALUE"""),"")</f>
        <v/>
      </c>
      <c r="J119" s="39" t="str">
        <f ca="1">IFERROR(__xludf.DUMMYFUNCTION("""COMPUTED_VALUE"""),"")</f>
        <v/>
      </c>
      <c r="K119" s="39" t="str">
        <f ca="1">IFERROR(__xludf.DUMMYFUNCTION("""COMPUTED_VALUE"""),"")</f>
        <v/>
      </c>
      <c r="L119" s="39" t="str">
        <f ca="1">IFERROR(__xludf.DUMMYFUNCTION("""COMPUTED_VALUE"""),"")</f>
        <v/>
      </c>
      <c r="M119" s="39" t="str">
        <f ca="1">IFERROR(__xludf.DUMMYFUNCTION("""COMPUTED_VALUE"""),"")</f>
        <v/>
      </c>
      <c r="N119" s="39" t="str">
        <f ca="1">IFERROR(__xludf.DUMMYFUNCTION("""COMPUTED_VALUE"""),"")</f>
        <v/>
      </c>
      <c r="O119" s="39" t="str">
        <f ca="1">IFERROR(__xludf.DUMMYFUNCTION("""COMPUTED_VALUE"""),"")</f>
        <v/>
      </c>
      <c r="P119" s="39" t="str">
        <f ca="1">IFERROR(__xludf.DUMMYFUNCTION("""COMPUTED_VALUE"""),"")</f>
        <v/>
      </c>
      <c r="Q119" s="39" t="str">
        <f ca="1">IFERROR(__xludf.DUMMYFUNCTION("""COMPUTED_VALUE"""),"")</f>
        <v/>
      </c>
      <c r="R119" s="39" t="str">
        <f ca="1">IFERROR(__xludf.DUMMYFUNCTION("""COMPUTED_VALUE"""),"")</f>
        <v/>
      </c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20.25" customHeight="1" x14ac:dyDescent="0.25">
      <c r="A120" s="5"/>
      <c r="B120" s="35"/>
      <c r="C120" s="36"/>
      <c r="D120" s="37"/>
      <c r="E120" s="36"/>
      <c r="F120" s="36"/>
      <c r="G120" s="38" t="str">
        <f ca="1">IFERROR(__xludf.DUMMYFUNCTION("""COMPUTED_VALUE"""),"")</f>
        <v/>
      </c>
      <c r="H120" s="38" t="str">
        <f ca="1">IFERROR(__xludf.DUMMYFUNCTION("""COMPUTED_VALUE"""),"")</f>
        <v/>
      </c>
      <c r="I120" s="38" t="str">
        <f ca="1">IFERROR(__xludf.DUMMYFUNCTION("""COMPUTED_VALUE"""),"")</f>
        <v/>
      </c>
      <c r="J120" s="39" t="str">
        <f ca="1">IFERROR(__xludf.DUMMYFUNCTION("""COMPUTED_VALUE"""),"")</f>
        <v/>
      </c>
      <c r="K120" s="39" t="str">
        <f ca="1">IFERROR(__xludf.DUMMYFUNCTION("""COMPUTED_VALUE"""),"")</f>
        <v/>
      </c>
      <c r="L120" s="39" t="str">
        <f ca="1">IFERROR(__xludf.DUMMYFUNCTION("""COMPUTED_VALUE"""),"")</f>
        <v/>
      </c>
      <c r="M120" s="39" t="str">
        <f ca="1">IFERROR(__xludf.DUMMYFUNCTION("""COMPUTED_VALUE"""),"")</f>
        <v/>
      </c>
      <c r="N120" s="39" t="str">
        <f ca="1">IFERROR(__xludf.DUMMYFUNCTION("""COMPUTED_VALUE"""),"")</f>
        <v/>
      </c>
      <c r="O120" s="39" t="str">
        <f ca="1">IFERROR(__xludf.DUMMYFUNCTION("""COMPUTED_VALUE"""),"")</f>
        <v/>
      </c>
      <c r="P120" s="39" t="str">
        <f ca="1">IFERROR(__xludf.DUMMYFUNCTION("""COMPUTED_VALUE"""),"")</f>
        <v/>
      </c>
      <c r="Q120" s="39" t="str">
        <f ca="1">IFERROR(__xludf.DUMMYFUNCTION("""COMPUTED_VALUE"""),"")</f>
        <v/>
      </c>
      <c r="R120" s="39" t="str">
        <f ca="1">IFERROR(__xludf.DUMMYFUNCTION("""COMPUTED_VALUE"""),"")</f>
        <v/>
      </c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20.25" customHeight="1" x14ac:dyDescent="0.25">
      <c r="A121" s="5"/>
      <c r="B121" s="35"/>
      <c r="C121" s="36"/>
      <c r="D121" s="37"/>
      <c r="E121" s="36"/>
      <c r="F121" s="36"/>
      <c r="G121" s="38" t="str">
        <f ca="1">IFERROR(__xludf.DUMMYFUNCTION("""COMPUTED_VALUE"""),"")</f>
        <v/>
      </c>
      <c r="H121" s="38" t="str">
        <f ca="1">IFERROR(__xludf.DUMMYFUNCTION("""COMPUTED_VALUE"""),"")</f>
        <v/>
      </c>
      <c r="I121" s="38" t="str">
        <f ca="1">IFERROR(__xludf.DUMMYFUNCTION("""COMPUTED_VALUE"""),"")</f>
        <v/>
      </c>
      <c r="J121" s="39" t="str">
        <f ca="1">IFERROR(__xludf.DUMMYFUNCTION("""COMPUTED_VALUE"""),"")</f>
        <v/>
      </c>
      <c r="K121" s="39" t="str">
        <f ca="1">IFERROR(__xludf.DUMMYFUNCTION("""COMPUTED_VALUE"""),"")</f>
        <v/>
      </c>
      <c r="L121" s="39" t="str">
        <f ca="1">IFERROR(__xludf.DUMMYFUNCTION("""COMPUTED_VALUE"""),"")</f>
        <v/>
      </c>
      <c r="M121" s="39" t="str">
        <f ca="1">IFERROR(__xludf.DUMMYFUNCTION("""COMPUTED_VALUE"""),"")</f>
        <v/>
      </c>
      <c r="N121" s="39" t="str">
        <f ca="1">IFERROR(__xludf.DUMMYFUNCTION("""COMPUTED_VALUE"""),"")</f>
        <v/>
      </c>
      <c r="O121" s="39" t="str">
        <f ca="1">IFERROR(__xludf.DUMMYFUNCTION("""COMPUTED_VALUE"""),"")</f>
        <v/>
      </c>
      <c r="P121" s="39" t="str">
        <f ca="1">IFERROR(__xludf.DUMMYFUNCTION("""COMPUTED_VALUE"""),"")</f>
        <v/>
      </c>
      <c r="Q121" s="39" t="str">
        <f ca="1">IFERROR(__xludf.DUMMYFUNCTION("""COMPUTED_VALUE"""),"")</f>
        <v/>
      </c>
      <c r="R121" s="39" t="str">
        <f ca="1">IFERROR(__xludf.DUMMYFUNCTION("""COMPUTED_VALUE"""),"")</f>
        <v/>
      </c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20.25" customHeight="1" x14ac:dyDescent="0.25">
      <c r="A122" s="5"/>
      <c r="B122" s="35"/>
      <c r="C122" s="36"/>
      <c r="D122" s="37"/>
      <c r="E122" s="36"/>
      <c r="F122" s="36"/>
      <c r="G122" s="38" t="str">
        <f ca="1">IFERROR(__xludf.DUMMYFUNCTION("""COMPUTED_VALUE"""),"")</f>
        <v/>
      </c>
      <c r="H122" s="38" t="str">
        <f ca="1">IFERROR(__xludf.DUMMYFUNCTION("""COMPUTED_VALUE"""),"")</f>
        <v/>
      </c>
      <c r="I122" s="38" t="str">
        <f ca="1">IFERROR(__xludf.DUMMYFUNCTION("""COMPUTED_VALUE"""),"")</f>
        <v/>
      </c>
      <c r="J122" s="39" t="str">
        <f ca="1">IFERROR(__xludf.DUMMYFUNCTION("""COMPUTED_VALUE"""),"")</f>
        <v/>
      </c>
      <c r="K122" s="39" t="str">
        <f ca="1">IFERROR(__xludf.DUMMYFUNCTION("""COMPUTED_VALUE"""),"")</f>
        <v/>
      </c>
      <c r="L122" s="39" t="str">
        <f ca="1">IFERROR(__xludf.DUMMYFUNCTION("""COMPUTED_VALUE"""),"")</f>
        <v/>
      </c>
      <c r="M122" s="39" t="str">
        <f ca="1">IFERROR(__xludf.DUMMYFUNCTION("""COMPUTED_VALUE"""),"")</f>
        <v/>
      </c>
      <c r="N122" s="39" t="str">
        <f ca="1">IFERROR(__xludf.DUMMYFUNCTION("""COMPUTED_VALUE"""),"")</f>
        <v/>
      </c>
      <c r="O122" s="39" t="str">
        <f ca="1">IFERROR(__xludf.DUMMYFUNCTION("""COMPUTED_VALUE"""),"")</f>
        <v/>
      </c>
      <c r="P122" s="39" t="str">
        <f ca="1">IFERROR(__xludf.DUMMYFUNCTION("""COMPUTED_VALUE"""),"")</f>
        <v/>
      </c>
      <c r="Q122" s="39" t="str">
        <f ca="1">IFERROR(__xludf.DUMMYFUNCTION("""COMPUTED_VALUE"""),"")</f>
        <v/>
      </c>
      <c r="R122" s="39" t="str">
        <f ca="1">IFERROR(__xludf.DUMMYFUNCTION("""COMPUTED_VALUE"""),"")</f>
        <v/>
      </c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20.25" customHeight="1" x14ac:dyDescent="0.25">
      <c r="A123" s="5"/>
      <c r="B123" s="35"/>
      <c r="C123" s="36"/>
      <c r="D123" s="37"/>
      <c r="E123" s="36"/>
      <c r="F123" s="36"/>
      <c r="G123" s="38" t="str">
        <f ca="1">IFERROR(__xludf.DUMMYFUNCTION("""COMPUTED_VALUE"""),"")</f>
        <v/>
      </c>
      <c r="H123" s="38" t="str">
        <f ca="1">IFERROR(__xludf.DUMMYFUNCTION("""COMPUTED_VALUE"""),"")</f>
        <v/>
      </c>
      <c r="I123" s="38" t="str">
        <f ca="1">IFERROR(__xludf.DUMMYFUNCTION("""COMPUTED_VALUE"""),"")</f>
        <v/>
      </c>
      <c r="J123" s="39" t="str">
        <f ca="1">IFERROR(__xludf.DUMMYFUNCTION("""COMPUTED_VALUE"""),"")</f>
        <v/>
      </c>
      <c r="K123" s="39" t="str">
        <f ca="1">IFERROR(__xludf.DUMMYFUNCTION("""COMPUTED_VALUE"""),"")</f>
        <v/>
      </c>
      <c r="L123" s="39" t="str">
        <f ca="1">IFERROR(__xludf.DUMMYFUNCTION("""COMPUTED_VALUE"""),"")</f>
        <v/>
      </c>
      <c r="M123" s="39" t="str">
        <f ca="1">IFERROR(__xludf.DUMMYFUNCTION("""COMPUTED_VALUE"""),"")</f>
        <v/>
      </c>
      <c r="N123" s="39" t="str">
        <f ca="1">IFERROR(__xludf.DUMMYFUNCTION("""COMPUTED_VALUE"""),"")</f>
        <v/>
      </c>
      <c r="O123" s="39" t="str">
        <f ca="1">IFERROR(__xludf.DUMMYFUNCTION("""COMPUTED_VALUE"""),"")</f>
        <v/>
      </c>
      <c r="P123" s="39" t="str">
        <f ca="1">IFERROR(__xludf.DUMMYFUNCTION("""COMPUTED_VALUE"""),"")</f>
        <v/>
      </c>
      <c r="Q123" s="39" t="str">
        <f ca="1">IFERROR(__xludf.DUMMYFUNCTION("""COMPUTED_VALUE"""),"")</f>
        <v/>
      </c>
      <c r="R123" s="39" t="str">
        <f ca="1">IFERROR(__xludf.DUMMYFUNCTION("""COMPUTED_VALUE"""),"")</f>
        <v/>
      </c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20.25" customHeight="1" x14ac:dyDescent="0.25">
      <c r="A124" s="5"/>
      <c r="B124" s="35"/>
      <c r="C124" s="36"/>
      <c r="D124" s="37"/>
      <c r="E124" s="36"/>
      <c r="F124" s="36"/>
      <c r="G124" s="38" t="str">
        <f ca="1">IFERROR(__xludf.DUMMYFUNCTION("""COMPUTED_VALUE"""),"")</f>
        <v/>
      </c>
      <c r="H124" s="38" t="str">
        <f ca="1">IFERROR(__xludf.DUMMYFUNCTION("""COMPUTED_VALUE"""),"")</f>
        <v/>
      </c>
      <c r="I124" s="38" t="str">
        <f ca="1">IFERROR(__xludf.DUMMYFUNCTION("""COMPUTED_VALUE"""),"")</f>
        <v/>
      </c>
      <c r="J124" s="39" t="str">
        <f ca="1">IFERROR(__xludf.DUMMYFUNCTION("""COMPUTED_VALUE"""),"")</f>
        <v/>
      </c>
      <c r="K124" s="39" t="str">
        <f ca="1">IFERROR(__xludf.DUMMYFUNCTION("""COMPUTED_VALUE"""),"")</f>
        <v/>
      </c>
      <c r="L124" s="39" t="str">
        <f ca="1">IFERROR(__xludf.DUMMYFUNCTION("""COMPUTED_VALUE"""),"")</f>
        <v/>
      </c>
      <c r="M124" s="39" t="str">
        <f ca="1">IFERROR(__xludf.DUMMYFUNCTION("""COMPUTED_VALUE"""),"")</f>
        <v/>
      </c>
      <c r="N124" s="39" t="str">
        <f ca="1">IFERROR(__xludf.DUMMYFUNCTION("""COMPUTED_VALUE"""),"")</f>
        <v/>
      </c>
      <c r="O124" s="39" t="str">
        <f ca="1">IFERROR(__xludf.DUMMYFUNCTION("""COMPUTED_VALUE"""),"")</f>
        <v/>
      </c>
      <c r="P124" s="39" t="str">
        <f ca="1">IFERROR(__xludf.DUMMYFUNCTION("""COMPUTED_VALUE"""),"")</f>
        <v/>
      </c>
      <c r="Q124" s="39" t="str">
        <f ca="1">IFERROR(__xludf.DUMMYFUNCTION("""COMPUTED_VALUE"""),"")</f>
        <v/>
      </c>
      <c r="R124" s="39" t="str">
        <f ca="1">IFERROR(__xludf.DUMMYFUNCTION("""COMPUTED_VALUE"""),"")</f>
        <v/>
      </c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20.25" customHeight="1" x14ac:dyDescent="0.25">
      <c r="A125" s="5"/>
      <c r="B125" s="35"/>
      <c r="C125" s="36"/>
      <c r="D125" s="37"/>
      <c r="E125" s="36"/>
      <c r="F125" s="36"/>
      <c r="G125" s="38" t="str">
        <f ca="1">IFERROR(__xludf.DUMMYFUNCTION("""COMPUTED_VALUE"""),"")</f>
        <v/>
      </c>
      <c r="H125" s="38" t="str">
        <f ca="1">IFERROR(__xludf.DUMMYFUNCTION("""COMPUTED_VALUE"""),"")</f>
        <v/>
      </c>
      <c r="I125" s="38" t="str">
        <f ca="1">IFERROR(__xludf.DUMMYFUNCTION("""COMPUTED_VALUE"""),"")</f>
        <v/>
      </c>
      <c r="J125" s="39" t="str">
        <f ca="1">IFERROR(__xludf.DUMMYFUNCTION("""COMPUTED_VALUE"""),"")</f>
        <v/>
      </c>
      <c r="K125" s="39" t="str">
        <f ca="1">IFERROR(__xludf.DUMMYFUNCTION("""COMPUTED_VALUE"""),"")</f>
        <v/>
      </c>
      <c r="L125" s="39" t="str">
        <f ca="1">IFERROR(__xludf.DUMMYFUNCTION("""COMPUTED_VALUE"""),"")</f>
        <v/>
      </c>
      <c r="M125" s="39" t="str">
        <f ca="1">IFERROR(__xludf.DUMMYFUNCTION("""COMPUTED_VALUE"""),"")</f>
        <v/>
      </c>
      <c r="N125" s="39" t="str">
        <f ca="1">IFERROR(__xludf.DUMMYFUNCTION("""COMPUTED_VALUE"""),"")</f>
        <v/>
      </c>
      <c r="O125" s="39" t="str">
        <f ca="1">IFERROR(__xludf.DUMMYFUNCTION("""COMPUTED_VALUE"""),"")</f>
        <v/>
      </c>
      <c r="P125" s="39" t="str">
        <f ca="1">IFERROR(__xludf.DUMMYFUNCTION("""COMPUTED_VALUE"""),"")</f>
        <v/>
      </c>
      <c r="Q125" s="39" t="str">
        <f ca="1">IFERROR(__xludf.DUMMYFUNCTION("""COMPUTED_VALUE"""),"")</f>
        <v/>
      </c>
      <c r="R125" s="39" t="str">
        <f ca="1">IFERROR(__xludf.DUMMYFUNCTION("""COMPUTED_VALUE"""),"")</f>
        <v/>
      </c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20.25" customHeight="1" x14ac:dyDescent="0.25">
      <c r="A126" s="5"/>
      <c r="B126" s="35"/>
      <c r="C126" s="36"/>
      <c r="D126" s="37"/>
      <c r="E126" s="36"/>
      <c r="F126" s="36"/>
      <c r="G126" s="38" t="str">
        <f ca="1">IFERROR(__xludf.DUMMYFUNCTION("""COMPUTED_VALUE"""),"")</f>
        <v/>
      </c>
      <c r="H126" s="38" t="str">
        <f ca="1">IFERROR(__xludf.DUMMYFUNCTION("""COMPUTED_VALUE"""),"")</f>
        <v/>
      </c>
      <c r="I126" s="38" t="str">
        <f ca="1">IFERROR(__xludf.DUMMYFUNCTION("""COMPUTED_VALUE"""),"")</f>
        <v/>
      </c>
      <c r="J126" s="39" t="str">
        <f ca="1">IFERROR(__xludf.DUMMYFUNCTION("""COMPUTED_VALUE"""),"")</f>
        <v/>
      </c>
      <c r="K126" s="39" t="str">
        <f ca="1">IFERROR(__xludf.DUMMYFUNCTION("""COMPUTED_VALUE"""),"")</f>
        <v/>
      </c>
      <c r="L126" s="39" t="str">
        <f ca="1">IFERROR(__xludf.DUMMYFUNCTION("""COMPUTED_VALUE"""),"")</f>
        <v/>
      </c>
      <c r="M126" s="39" t="str">
        <f ca="1">IFERROR(__xludf.DUMMYFUNCTION("""COMPUTED_VALUE"""),"")</f>
        <v/>
      </c>
      <c r="N126" s="39" t="str">
        <f ca="1">IFERROR(__xludf.DUMMYFUNCTION("""COMPUTED_VALUE"""),"")</f>
        <v/>
      </c>
      <c r="O126" s="39" t="str">
        <f ca="1">IFERROR(__xludf.DUMMYFUNCTION("""COMPUTED_VALUE"""),"")</f>
        <v/>
      </c>
      <c r="P126" s="39" t="str">
        <f ca="1">IFERROR(__xludf.DUMMYFUNCTION("""COMPUTED_VALUE"""),"")</f>
        <v/>
      </c>
      <c r="Q126" s="39" t="str">
        <f ca="1">IFERROR(__xludf.DUMMYFUNCTION("""COMPUTED_VALUE"""),"")</f>
        <v/>
      </c>
      <c r="R126" s="39" t="str">
        <f ca="1">IFERROR(__xludf.DUMMYFUNCTION("""COMPUTED_VALUE"""),"")</f>
        <v/>
      </c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20.25" customHeight="1" x14ac:dyDescent="0.25">
      <c r="A127" s="5"/>
      <c r="B127" s="35"/>
      <c r="C127" s="36"/>
      <c r="D127" s="37"/>
      <c r="E127" s="36"/>
      <c r="F127" s="36"/>
      <c r="G127" s="38" t="str">
        <f ca="1">IFERROR(__xludf.DUMMYFUNCTION("""COMPUTED_VALUE"""),"")</f>
        <v/>
      </c>
      <c r="H127" s="38" t="str">
        <f ca="1">IFERROR(__xludf.DUMMYFUNCTION("""COMPUTED_VALUE"""),"")</f>
        <v/>
      </c>
      <c r="I127" s="38" t="str">
        <f ca="1">IFERROR(__xludf.DUMMYFUNCTION("""COMPUTED_VALUE"""),"")</f>
        <v/>
      </c>
      <c r="J127" s="39" t="str">
        <f ca="1">IFERROR(__xludf.DUMMYFUNCTION("""COMPUTED_VALUE"""),"")</f>
        <v/>
      </c>
      <c r="K127" s="39" t="str">
        <f ca="1">IFERROR(__xludf.DUMMYFUNCTION("""COMPUTED_VALUE"""),"")</f>
        <v/>
      </c>
      <c r="L127" s="39" t="str">
        <f ca="1">IFERROR(__xludf.DUMMYFUNCTION("""COMPUTED_VALUE"""),"")</f>
        <v/>
      </c>
      <c r="M127" s="39" t="str">
        <f ca="1">IFERROR(__xludf.DUMMYFUNCTION("""COMPUTED_VALUE"""),"")</f>
        <v/>
      </c>
      <c r="N127" s="39" t="str">
        <f ca="1">IFERROR(__xludf.DUMMYFUNCTION("""COMPUTED_VALUE"""),"")</f>
        <v/>
      </c>
      <c r="O127" s="39" t="str">
        <f ca="1">IFERROR(__xludf.DUMMYFUNCTION("""COMPUTED_VALUE"""),"")</f>
        <v/>
      </c>
      <c r="P127" s="39" t="str">
        <f ca="1">IFERROR(__xludf.DUMMYFUNCTION("""COMPUTED_VALUE"""),"")</f>
        <v/>
      </c>
      <c r="Q127" s="39" t="str">
        <f ca="1">IFERROR(__xludf.DUMMYFUNCTION("""COMPUTED_VALUE"""),"")</f>
        <v/>
      </c>
      <c r="R127" s="39" t="str">
        <f ca="1">IFERROR(__xludf.DUMMYFUNCTION("""COMPUTED_VALUE"""),"")</f>
        <v/>
      </c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20.25" customHeight="1" x14ac:dyDescent="0.25">
      <c r="A128" s="5"/>
      <c r="B128" s="35"/>
      <c r="C128" s="36"/>
      <c r="D128" s="37"/>
      <c r="E128" s="36"/>
      <c r="F128" s="36"/>
      <c r="G128" s="38" t="str">
        <f ca="1">IFERROR(__xludf.DUMMYFUNCTION("""COMPUTED_VALUE"""),"")</f>
        <v/>
      </c>
      <c r="H128" s="38" t="str">
        <f ca="1">IFERROR(__xludf.DUMMYFUNCTION("""COMPUTED_VALUE"""),"")</f>
        <v/>
      </c>
      <c r="I128" s="38" t="str">
        <f ca="1">IFERROR(__xludf.DUMMYFUNCTION("""COMPUTED_VALUE"""),"")</f>
        <v/>
      </c>
      <c r="J128" s="39" t="str">
        <f ca="1">IFERROR(__xludf.DUMMYFUNCTION("""COMPUTED_VALUE"""),"")</f>
        <v/>
      </c>
      <c r="K128" s="39" t="str">
        <f ca="1">IFERROR(__xludf.DUMMYFUNCTION("""COMPUTED_VALUE"""),"")</f>
        <v/>
      </c>
      <c r="L128" s="39" t="str">
        <f ca="1">IFERROR(__xludf.DUMMYFUNCTION("""COMPUTED_VALUE"""),"")</f>
        <v/>
      </c>
      <c r="M128" s="39" t="str">
        <f ca="1">IFERROR(__xludf.DUMMYFUNCTION("""COMPUTED_VALUE"""),"")</f>
        <v/>
      </c>
      <c r="N128" s="39" t="str">
        <f ca="1">IFERROR(__xludf.DUMMYFUNCTION("""COMPUTED_VALUE"""),"")</f>
        <v/>
      </c>
      <c r="O128" s="39" t="str">
        <f ca="1">IFERROR(__xludf.DUMMYFUNCTION("""COMPUTED_VALUE"""),"")</f>
        <v/>
      </c>
      <c r="P128" s="39" t="str">
        <f ca="1">IFERROR(__xludf.DUMMYFUNCTION("""COMPUTED_VALUE"""),"")</f>
        <v/>
      </c>
      <c r="Q128" s="39" t="str">
        <f ca="1">IFERROR(__xludf.DUMMYFUNCTION("""COMPUTED_VALUE"""),"")</f>
        <v/>
      </c>
      <c r="R128" s="39" t="str">
        <f ca="1">IFERROR(__xludf.DUMMYFUNCTION("""COMPUTED_VALUE"""),"")</f>
        <v/>
      </c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20.25" customHeight="1" x14ac:dyDescent="0.25">
      <c r="A129" s="5"/>
      <c r="B129" s="35"/>
      <c r="C129" s="36"/>
      <c r="D129" s="37"/>
      <c r="E129" s="36"/>
      <c r="F129" s="36"/>
      <c r="G129" s="38" t="str">
        <f ca="1">IFERROR(__xludf.DUMMYFUNCTION("""COMPUTED_VALUE"""),"")</f>
        <v/>
      </c>
      <c r="H129" s="38" t="str">
        <f ca="1">IFERROR(__xludf.DUMMYFUNCTION("""COMPUTED_VALUE"""),"")</f>
        <v/>
      </c>
      <c r="I129" s="38" t="str">
        <f ca="1">IFERROR(__xludf.DUMMYFUNCTION("""COMPUTED_VALUE"""),"")</f>
        <v/>
      </c>
      <c r="J129" s="39" t="str">
        <f ca="1">IFERROR(__xludf.DUMMYFUNCTION("""COMPUTED_VALUE"""),"")</f>
        <v/>
      </c>
      <c r="K129" s="39" t="str">
        <f ca="1">IFERROR(__xludf.DUMMYFUNCTION("""COMPUTED_VALUE"""),"")</f>
        <v/>
      </c>
      <c r="L129" s="39" t="str">
        <f ca="1">IFERROR(__xludf.DUMMYFUNCTION("""COMPUTED_VALUE"""),"")</f>
        <v/>
      </c>
      <c r="M129" s="39" t="str">
        <f ca="1">IFERROR(__xludf.DUMMYFUNCTION("""COMPUTED_VALUE"""),"")</f>
        <v/>
      </c>
      <c r="N129" s="39" t="str">
        <f ca="1">IFERROR(__xludf.DUMMYFUNCTION("""COMPUTED_VALUE"""),"")</f>
        <v/>
      </c>
      <c r="O129" s="39" t="str">
        <f ca="1">IFERROR(__xludf.DUMMYFUNCTION("""COMPUTED_VALUE"""),"")</f>
        <v/>
      </c>
      <c r="P129" s="39" t="str">
        <f ca="1">IFERROR(__xludf.DUMMYFUNCTION("""COMPUTED_VALUE"""),"")</f>
        <v/>
      </c>
      <c r="Q129" s="39" t="str">
        <f ca="1">IFERROR(__xludf.DUMMYFUNCTION("""COMPUTED_VALUE"""),"")</f>
        <v/>
      </c>
      <c r="R129" s="39" t="str">
        <f ca="1">IFERROR(__xludf.DUMMYFUNCTION("""COMPUTED_VALUE"""),"")</f>
        <v/>
      </c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20.25" customHeight="1" x14ac:dyDescent="0.25">
      <c r="A130" s="5"/>
      <c r="B130" s="35"/>
      <c r="C130" s="36"/>
      <c r="D130" s="37"/>
      <c r="E130" s="36"/>
      <c r="F130" s="36"/>
      <c r="G130" s="38" t="str">
        <f ca="1">IFERROR(__xludf.DUMMYFUNCTION("""COMPUTED_VALUE"""),"")</f>
        <v/>
      </c>
      <c r="H130" s="38" t="str">
        <f ca="1">IFERROR(__xludf.DUMMYFUNCTION("""COMPUTED_VALUE"""),"")</f>
        <v/>
      </c>
      <c r="I130" s="38" t="str">
        <f ca="1">IFERROR(__xludf.DUMMYFUNCTION("""COMPUTED_VALUE"""),"")</f>
        <v/>
      </c>
      <c r="J130" s="39" t="str">
        <f ca="1">IFERROR(__xludf.DUMMYFUNCTION("""COMPUTED_VALUE"""),"")</f>
        <v/>
      </c>
      <c r="K130" s="39" t="str">
        <f ca="1">IFERROR(__xludf.DUMMYFUNCTION("""COMPUTED_VALUE"""),"")</f>
        <v/>
      </c>
      <c r="L130" s="39" t="str">
        <f ca="1">IFERROR(__xludf.DUMMYFUNCTION("""COMPUTED_VALUE"""),"")</f>
        <v/>
      </c>
      <c r="M130" s="39" t="str">
        <f ca="1">IFERROR(__xludf.DUMMYFUNCTION("""COMPUTED_VALUE"""),"")</f>
        <v/>
      </c>
      <c r="N130" s="39" t="str">
        <f ca="1">IFERROR(__xludf.DUMMYFUNCTION("""COMPUTED_VALUE"""),"")</f>
        <v/>
      </c>
      <c r="O130" s="39" t="str">
        <f ca="1">IFERROR(__xludf.DUMMYFUNCTION("""COMPUTED_VALUE"""),"")</f>
        <v/>
      </c>
      <c r="P130" s="39" t="str">
        <f ca="1">IFERROR(__xludf.DUMMYFUNCTION("""COMPUTED_VALUE"""),"")</f>
        <v/>
      </c>
      <c r="Q130" s="39" t="str">
        <f ca="1">IFERROR(__xludf.DUMMYFUNCTION("""COMPUTED_VALUE"""),"")</f>
        <v/>
      </c>
      <c r="R130" s="39" t="str">
        <f ca="1">IFERROR(__xludf.DUMMYFUNCTION("""COMPUTED_VALUE"""),"")</f>
        <v/>
      </c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20.25" customHeight="1" x14ac:dyDescent="0.25">
      <c r="A131" s="5"/>
      <c r="B131" s="35"/>
      <c r="C131" s="36"/>
      <c r="D131" s="37"/>
      <c r="E131" s="36"/>
      <c r="F131" s="36"/>
      <c r="G131" s="38" t="str">
        <f ca="1">IFERROR(__xludf.DUMMYFUNCTION("""COMPUTED_VALUE"""),"")</f>
        <v/>
      </c>
      <c r="H131" s="38" t="str">
        <f ca="1">IFERROR(__xludf.DUMMYFUNCTION("""COMPUTED_VALUE"""),"")</f>
        <v/>
      </c>
      <c r="I131" s="38" t="str">
        <f ca="1">IFERROR(__xludf.DUMMYFUNCTION("""COMPUTED_VALUE"""),"")</f>
        <v/>
      </c>
      <c r="J131" s="39" t="str">
        <f ca="1">IFERROR(__xludf.DUMMYFUNCTION("""COMPUTED_VALUE"""),"")</f>
        <v/>
      </c>
      <c r="K131" s="39" t="str">
        <f ca="1">IFERROR(__xludf.DUMMYFUNCTION("""COMPUTED_VALUE"""),"")</f>
        <v/>
      </c>
      <c r="L131" s="39" t="str">
        <f ca="1">IFERROR(__xludf.DUMMYFUNCTION("""COMPUTED_VALUE"""),"")</f>
        <v/>
      </c>
      <c r="M131" s="39" t="str">
        <f ca="1">IFERROR(__xludf.DUMMYFUNCTION("""COMPUTED_VALUE"""),"")</f>
        <v/>
      </c>
      <c r="N131" s="39" t="str">
        <f ca="1">IFERROR(__xludf.DUMMYFUNCTION("""COMPUTED_VALUE"""),"")</f>
        <v/>
      </c>
      <c r="O131" s="39" t="str">
        <f ca="1">IFERROR(__xludf.DUMMYFUNCTION("""COMPUTED_VALUE"""),"")</f>
        <v/>
      </c>
      <c r="P131" s="39" t="str">
        <f ca="1">IFERROR(__xludf.DUMMYFUNCTION("""COMPUTED_VALUE"""),"")</f>
        <v/>
      </c>
      <c r="Q131" s="39" t="str">
        <f ca="1">IFERROR(__xludf.DUMMYFUNCTION("""COMPUTED_VALUE"""),"")</f>
        <v/>
      </c>
      <c r="R131" s="39" t="str">
        <f ca="1">IFERROR(__xludf.DUMMYFUNCTION("""COMPUTED_VALUE"""),"")</f>
        <v/>
      </c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20.25" customHeight="1" x14ac:dyDescent="0.25">
      <c r="A132" s="5"/>
      <c r="B132" s="35"/>
      <c r="C132" s="36"/>
      <c r="D132" s="37"/>
      <c r="E132" s="36"/>
      <c r="F132" s="36"/>
      <c r="G132" s="38" t="str">
        <f ca="1">IFERROR(__xludf.DUMMYFUNCTION("""COMPUTED_VALUE"""),"")</f>
        <v/>
      </c>
      <c r="H132" s="38" t="str">
        <f ca="1">IFERROR(__xludf.DUMMYFUNCTION("""COMPUTED_VALUE"""),"")</f>
        <v/>
      </c>
      <c r="I132" s="38" t="str">
        <f ca="1">IFERROR(__xludf.DUMMYFUNCTION("""COMPUTED_VALUE"""),"")</f>
        <v/>
      </c>
      <c r="J132" s="39" t="str">
        <f ca="1">IFERROR(__xludf.DUMMYFUNCTION("""COMPUTED_VALUE"""),"")</f>
        <v/>
      </c>
      <c r="K132" s="39" t="str">
        <f ca="1">IFERROR(__xludf.DUMMYFUNCTION("""COMPUTED_VALUE"""),"")</f>
        <v/>
      </c>
      <c r="L132" s="39" t="str">
        <f ca="1">IFERROR(__xludf.DUMMYFUNCTION("""COMPUTED_VALUE"""),"")</f>
        <v/>
      </c>
      <c r="M132" s="39" t="str">
        <f ca="1">IFERROR(__xludf.DUMMYFUNCTION("""COMPUTED_VALUE"""),"")</f>
        <v/>
      </c>
      <c r="N132" s="39" t="str">
        <f ca="1">IFERROR(__xludf.DUMMYFUNCTION("""COMPUTED_VALUE"""),"")</f>
        <v/>
      </c>
      <c r="O132" s="39" t="str">
        <f ca="1">IFERROR(__xludf.DUMMYFUNCTION("""COMPUTED_VALUE"""),"")</f>
        <v/>
      </c>
      <c r="P132" s="39" t="str">
        <f ca="1">IFERROR(__xludf.DUMMYFUNCTION("""COMPUTED_VALUE"""),"")</f>
        <v/>
      </c>
      <c r="Q132" s="39" t="str">
        <f ca="1">IFERROR(__xludf.DUMMYFUNCTION("""COMPUTED_VALUE"""),"")</f>
        <v/>
      </c>
      <c r="R132" s="39" t="str">
        <f ca="1">IFERROR(__xludf.DUMMYFUNCTION("""COMPUTED_VALUE"""),"")</f>
        <v/>
      </c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20.25" customHeight="1" x14ac:dyDescent="0.25">
      <c r="A133" s="5"/>
      <c r="B133" s="35"/>
      <c r="C133" s="36"/>
      <c r="D133" s="37"/>
      <c r="E133" s="36"/>
      <c r="F133" s="36"/>
      <c r="G133" s="38" t="str">
        <f ca="1">IFERROR(__xludf.DUMMYFUNCTION("""COMPUTED_VALUE"""),"")</f>
        <v/>
      </c>
      <c r="H133" s="38" t="str">
        <f ca="1">IFERROR(__xludf.DUMMYFUNCTION("""COMPUTED_VALUE"""),"")</f>
        <v/>
      </c>
      <c r="I133" s="38" t="str">
        <f ca="1">IFERROR(__xludf.DUMMYFUNCTION("""COMPUTED_VALUE"""),"")</f>
        <v/>
      </c>
      <c r="J133" s="39" t="str">
        <f ca="1">IFERROR(__xludf.DUMMYFUNCTION("""COMPUTED_VALUE"""),"")</f>
        <v/>
      </c>
      <c r="K133" s="39" t="str">
        <f ca="1">IFERROR(__xludf.DUMMYFUNCTION("""COMPUTED_VALUE"""),"")</f>
        <v/>
      </c>
      <c r="L133" s="39" t="str">
        <f ca="1">IFERROR(__xludf.DUMMYFUNCTION("""COMPUTED_VALUE"""),"")</f>
        <v/>
      </c>
      <c r="M133" s="39" t="str">
        <f ca="1">IFERROR(__xludf.DUMMYFUNCTION("""COMPUTED_VALUE"""),"")</f>
        <v/>
      </c>
      <c r="N133" s="39" t="str">
        <f ca="1">IFERROR(__xludf.DUMMYFUNCTION("""COMPUTED_VALUE"""),"")</f>
        <v/>
      </c>
      <c r="O133" s="39" t="str">
        <f ca="1">IFERROR(__xludf.DUMMYFUNCTION("""COMPUTED_VALUE"""),"")</f>
        <v/>
      </c>
      <c r="P133" s="39" t="str">
        <f ca="1">IFERROR(__xludf.DUMMYFUNCTION("""COMPUTED_VALUE"""),"")</f>
        <v/>
      </c>
      <c r="Q133" s="39" t="str">
        <f ca="1">IFERROR(__xludf.DUMMYFUNCTION("""COMPUTED_VALUE"""),"")</f>
        <v/>
      </c>
      <c r="R133" s="39" t="str">
        <f ca="1">IFERROR(__xludf.DUMMYFUNCTION("""COMPUTED_VALUE"""),"")</f>
        <v/>
      </c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20.25" customHeight="1" x14ac:dyDescent="0.25">
      <c r="A134" s="5"/>
      <c r="B134" s="35"/>
      <c r="C134" s="36"/>
      <c r="D134" s="37"/>
      <c r="E134" s="36"/>
      <c r="F134" s="36"/>
      <c r="G134" s="38" t="str">
        <f ca="1">IFERROR(__xludf.DUMMYFUNCTION("""COMPUTED_VALUE"""),"")</f>
        <v/>
      </c>
      <c r="H134" s="38" t="str">
        <f ca="1">IFERROR(__xludf.DUMMYFUNCTION("""COMPUTED_VALUE"""),"")</f>
        <v/>
      </c>
      <c r="I134" s="38" t="str">
        <f ca="1">IFERROR(__xludf.DUMMYFUNCTION("""COMPUTED_VALUE"""),"")</f>
        <v/>
      </c>
      <c r="J134" s="39" t="str">
        <f ca="1">IFERROR(__xludf.DUMMYFUNCTION("""COMPUTED_VALUE"""),"")</f>
        <v/>
      </c>
      <c r="K134" s="39" t="str">
        <f ca="1">IFERROR(__xludf.DUMMYFUNCTION("""COMPUTED_VALUE"""),"")</f>
        <v/>
      </c>
      <c r="L134" s="39" t="str">
        <f ca="1">IFERROR(__xludf.DUMMYFUNCTION("""COMPUTED_VALUE"""),"")</f>
        <v/>
      </c>
      <c r="M134" s="39" t="str">
        <f ca="1">IFERROR(__xludf.DUMMYFUNCTION("""COMPUTED_VALUE"""),"")</f>
        <v/>
      </c>
      <c r="N134" s="39" t="str">
        <f ca="1">IFERROR(__xludf.DUMMYFUNCTION("""COMPUTED_VALUE"""),"")</f>
        <v/>
      </c>
      <c r="O134" s="39" t="str">
        <f ca="1">IFERROR(__xludf.DUMMYFUNCTION("""COMPUTED_VALUE"""),"")</f>
        <v/>
      </c>
      <c r="P134" s="39" t="str">
        <f ca="1">IFERROR(__xludf.DUMMYFUNCTION("""COMPUTED_VALUE"""),"")</f>
        <v/>
      </c>
      <c r="Q134" s="39" t="str">
        <f ca="1">IFERROR(__xludf.DUMMYFUNCTION("""COMPUTED_VALUE"""),"")</f>
        <v/>
      </c>
      <c r="R134" s="39" t="str">
        <f ca="1">IFERROR(__xludf.DUMMYFUNCTION("""COMPUTED_VALUE"""),"")</f>
        <v/>
      </c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20.25" customHeight="1" x14ac:dyDescent="0.25">
      <c r="A135" s="5"/>
      <c r="B135" s="35"/>
      <c r="C135" s="36"/>
      <c r="D135" s="37"/>
      <c r="E135" s="36"/>
      <c r="F135" s="36"/>
      <c r="G135" s="38" t="str">
        <f ca="1">IFERROR(__xludf.DUMMYFUNCTION("""COMPUTED_VALUE"""),"")</f>
        <v/>
      </c>
      <c r="H135" s="38" t="str">
        <f ca="1">IFERROR(__xludf.DUMMYFUNCTION("""COMPUTED_VALUE"""),"")</f>
        <v/>
      </c>
      <c r="I135" s="38" t="str">
        <f ca="1">IFERROR(__xludf.DUMMYFUNCTION("""COMPUTED_VALUE"""),"")</f>
        <v/>
      </c>
      <c r="J135" s="39" t="str">
        <f ca="1">IFERROR(__xludf.DUMMYFUNCTION("""COMPUTED_VALUE"""),"")</f>
        <v/>
      </c>
      <c r="K135" s="39" t="str">
        <f ca="1">IFERROR(__xludf.DUMMYFUNCTION("""COMPUTED_VALUE"""),"")</f>
        <v/>
      </c>
      <c r="L135" s="39" t="str">
        <f ca="1">IFERROR(__xludf.DUMMYFUNCTION("""COMPUTED_VALUE"""),"")</f>
        <v/>
      </c>
      <c r="M135" s="39" t="str">
        <f ca="1">IFERROR(__xludf.DUMMYFUNCTION("""COMPUTED_VALUE"""),"")</f>
        <v/>
      </c>
      <c r="N135" s="39" t="str">
        <f ca="1">IFERROR(__xludf.DUMMYFUNCTION("""COMPUTED_VALUE"""),"")</f>
        <v/>
      </c>
      <c r="O135" s="39" t="str">
        <f ca="1">IFERROR(__xludf.DUMMYFUNCTION("""COMPUTED_VALUE"""),"")</f>
        <v/>
      </c>
      <c r="P135" s="39" t="str">
        <f ca="1">IFERROR(__xludf.DUMMYFUNCTION("""COMPUTED_VALUE"""),"")</f>
        <v/>
      </c>
      <c r="Q135" s="39" t="str">
        <f ca="1">IFERROR(__xludf.DUMMYFUNCTION("""COMPUTED_VALUE"""),"")</f>
        <v/>
      </c>
      <c r="R135" s="39" t="str">
        <f ca="1">IFERROR(__xludf.DUMMYFUNCTION("""COMPUTED_VALUE"""),"")</f>
        <v/>
      </c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20.25" customHeight="1" x14ac:dyDescent="0.25">
      <c r="A136" s="5"/>
      <c r="B136" s="35"/>
      <c r="C136" s="36"/>
      <c r="D136" s="37"/>
      <c r="E136" s="36"/>
      <c r="F136" s="36"/>
      <c r="G136" s="38" t="str">
        <f ca="1">IFERROR(__xludf.DUMMYFUNCTION("""COMPUTED_VALUE"""),"")</f>
        <v/>
      </c>
      <c r="H136" s="38" t="str">
        <f ca="1">IFERROR(__xludf.DUMMYFUNCTION("""COMPUTED_VALUE"""),"")</f>
        <v/>
      </c>
      <c r="I136" s="38" t="str">
        <f ca="1">IFERROR(__xludf.DUMMYFUNCTION("""COMPUTED_VALUE"""),"")</f>
        <v/>
      </c>
      <c r="J136" s="39" t="str">
        <f ca="1">IFERROR(__xludf.DUMMYFUNCTION("""COMPUTED_VALUE"""),"")</f>
        <v/>
      </c>
      <c r="K136" s="39" t="str">
        <f ca="1">IFERROR(__xludf.DUMMYFUNCTION("""COMPUTED_VALUE"""),"")</f>
        <v/>
      </c>
      <c r="L136" s="39" t="str">
        <f ca="1">IFERROR(__xludf.DUMMYFUNCTION("""COMPUTED_VALUE"""),"")</f>
        <v/>
      </c>
      <c r="M136" s="39" t="str">
        <f ca="1">IFERROR(__xludf.DUMMYFUNCTION("""COMPUTED_VALUE"""),"")</f>
        <v/>
      </c>
      <c r="N136" s="39" t="str">
        <f ca="1">IFERROR(__xludf.DUMMYFUNCTION("""COMPUTED_VALUE"""),"")</f>
        <v/>
      </c>
      <c r="O136" s="39" t="str">
        <f ca="1">IFERROR(__xludf.DUMMYFUNCTION("""COMPUTED_VALUE"""),"")</f>
        <v/>
      </c>
      <c r="P136" s="39" t="str">
        <f ca="1">IFERROR(__xludf.DUMMYFUNCTION("""COMPUTED_VALUE"""),"")</f>
        <v/>
      </c>
      <c r="Q136" s="39" t="str">
        <f ca="1">IFERROR(__xludf.DUMMYFUNCTION("""COMPUTED_VALUE"""),"")</f>
        <v/>
      </c>
      <c r="R136" s="39" t="str">
        <f ca="1">IFERROR(__xludf.DUMMYFUNCTION("""COMPUTED_VALUE"""),"")</f>
        <v/>
      </c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20.25" customHeight="1" x14ac:dyDescent="0.25">
      <c r="A137" s="5"/>
      <c r="B137" s="35"/>
      <c r="C137" s="36"/>
      <c r="D137" s="37"/>
      <c r="E137" s="36"/>
      <c r="F137" s="36"/>
      <c r="G137" s="38" t="str">
        <f ca="1">IFERROR(__xludf.DUMMYFUNCTION("""COMPUTED_VALUE"""),"")</f>
        <v/>
      </c>
      <c r="H137" s="38" t="str">
        <f ca="1">IFERROR(__xludf.DUMMYFUNCTION("""COMPUTED_VALUE"""),"")</f>
        <v/>
      </c>
      <c r="I137" s="38" t="str">
        <f ca="1">IFERROR(__xludf.DUMMYFUNCTION("""COMPUTED_VALUE"""),"")</f>
        <v/>
      </c>
      <c r="J137" s="39" t="str">
        <f ca="1">IFERROR(__xludf.DUMMYFUNCTION("""COMPUTED_VALUE"""),"")</f>
        <v/>
      </c>
      <c r="K137" s="39" t="str">
        <f ca="1">IFERROR(__xludf.DUMMYFUNCTION("""COMPUTED_VALUE"""),"")</f>
        <v/>
      </c>
      <c r="L137" s="39" t="str">
        <f ca="1">IFERROR(__xludf.DUMMYFUNCTION("""COMPUTED_VALUE"""),"")</f>
        <v/>
      </c>
      <c r="M137" s="39" t="str">
        <f ca="1">IFERROR(__xludf.DUMMYFUNCTION("""COMPUTED_VALUE"""),"")</f>
        <v/>
      </c>
      <c r="N137" s="39" t="str">
        <f ca="1">IFERROR(__xludf.DUMMYFUNCTION("""COMPUTED_VALUE"""),"")</f>
        <v/>
      </c>
      <c r="O137" s="39" t="str">
        <f ca="1">IFERROR(__xludf.DUMMYFUNCTION("""COMPUTED_VALUE"""),"")</f>
        <v/>
      </c>
      <c r="P137" s="39" t="str">
        <f ca="1">IFERROR(__xludf.DUMMYFUNCTION("""COMPUTED_VALUE"""),"")</f>
        <v/>
      </c>
      <c r="Q137" s="39" t="str">
        <f ca="1">IFERROR(__xludf.DUMMYFUNCTION("""COMPUTED_VALUE"""),"")</f>
        <v/>
      </c>
      <c r="R137" s="39" t="str">
        <f ca="1">IFERROR(__xludf.DUMMYFUNCTION("""COMPUTED_VALUE"""),"")</f>
        <v/>
      </c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20.25" customHeight="1" x14ac:dyDescent="0.25">
      <c r="A138" s="5"/>
      <c r="B138" s="35"/>
      <c r="C138" s="36"/>
      <c r="D138" s="37"/>
      <c r="E138" s="36"/>
      <c r="F138" s="36"/>
      <c r="G138" s="38" t="str">
        <f ca="1">IFERROR(__xludf.DUMMYFUNCTION("""COMPUTED_VALUE"""),"")</f>
        <v/>
      </c>
      <c r="H138" s="38" t="str">
        <f ca="1">IFERROR(__xludf.DUMMYFUNCTION("""COMPUTED_VALUE"""),"")</f>
        <v/>
      </c>
      <c r="I138" s="38" t="str">
        <f ca="1">IFERROR(__xludf.DUMMYFUNCTION("""COMPUTED_VALUE"""),"")</f>
        <v/>
      </c>
      <c r="J138" s="39" t="str">
        <f ca="1">IFERROR(__xludf.DUMMYFUNCTION("""COMPUTED_VALUE"""),"")</f>
        <v/>
      </c>
      <c r="K138" s="39" t="str">
        <f ca="1">IFERROR(__xludf.DUMMYFUNCTION("""COMPUTED_VALUE"""),"")</f>
        <v/>
      </c>
      <c r="L138" s="39" t="str">
        <f ca="1">IFERROR(__xludf.DUMMYFUNCTION("""COMPUTED_VALUE"""),"")</f>
        <v/>
      </c>
      <c r="M138" s="39" t="str">
        <f ca="1">IFERROR(__xludf.DUMMYFUNCTION("""COMPUTED_VALUE"""),"")</f>
        <v/>
      </c>
      <c r="N138" s="39" t="str">
        <f ca="1">IFERROR(__xludf.DUMMYFUNCTION("""COMPUTED_VALUE"""),"")</f>
        <v/>
      </c>
      <c r="O138" s="39" t="str">
        <f ca="1">IFERROR(__xludf.DUMMYFUNCTION("""COMPUTED_VALUE"""),"")</f>
        <v/>
      </c>
      <c r="P138" s="39" t="str">
        <f ca="1">IFERROR(__xludf.DUMMYFUNCTION("""COMPUTED_VALUE"""),"")</f>
        <v/>
      </c>
      <c r="Q138" s="39" t="str">
        <f ca="1">IFERROR(__xludf.DUMMYFUNCTION("""COMPUTED_VALUE"""),"")</f>
        <v/>
      </c>
      <c r="R138" s="39" t="str">
        <f ca="1">IFERROR(__xludf.DUMMYFUNCTION("""COMPUTED_VALUE"""),"")</f>
        <v/>
      </c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20.25" customHeight="1" x14ac:dyDescent="0.25">
      <c r="A139" s="5"/>
      <c r="B139" s="35"/>
      <c r="C139" s="36"/>
      <c r="D139" s="37"/>
      <c r="E139" s="36"/>
      <c r="F139" s="36"/>
      <c r="G139" s="38" t="str">
        <f ca="1">IFERROR(__xludf.DUMMYFUNCTION("""COMPUTED_VALUE"""),"")</f>
        <v/>
      </c>
      <c r="H139" s="38" t="str">
        <f ca="1">IFERROR(__xludf.DUMMYFUNCTION("""COMPUTED_VALUE"""),"")</f>
        <v/>
      </c>
      <c r="I139" s="38" t="str">
        <f ca="1">IFERROR(__xludf.DUMMYFUNCTION("""COMPUTED_VALUE"""),"")</f>
        <v/>
      </c>
      <c r="J139" s="39" t="str">
        <f ca="1">IFERROR(__xludf.DUMMYFUNCTION("""COMPUTED_VALUE"""),"")</f>
        <v/>
      </c>
      <c r="K139" s="39" t="str">
        <f ca="1">IFERROR(__xludf.DUMMYFUNCTION("""COMPUTED_VALUE"""),"")</f>
        <v/>
      </c>
      <c r="L139" s="39" t="str">
        <f ca="1">IFERROR(__xludf.DUMMYFUNCTION("""COMPUTED_VALUE"""),"")</f>
        <v/>
      </c>
      <c r="M139" s="39" t="str">
        <f ca="1">IFERROR(__xludf.DUMMYFUNCTION("""COMPUTED_VALUE"""),"")</f>
        <v/>
      </c>
      <c r="N139" s="39" t="str">
        <f ca="1">IFERROR(__xludf.DUMMYFUNCTION("""COMPUTED_VALUE"""),"")</f>
        <v/>
      </c>
      <c r="O139" s="39" t="str">
        <f ca="1">IFERROR(__xludf.DUMMYFUNCTION("""COMPUTED_VALUE"""),"")</f>
        <v/>
      </c>
      <c r="P139" s="39" t="str">
        <f ca="1">IFERROR(__xludf.DUMMYFUNCTION("""COMPUTED_VALUE"""),"")</f>
        <v/>
      </c>
      <c r="Q139" s="39" t="str">
        <f ca="1">IFERROR(__xludf.DUMMYFUNCTION("""COMPUTED_VALUE"""),"")</f>
        <v/>
      </c>
      <c r="R139" s="39" t="str">
        <f ca="1">IFERROR(__xludf.DUMMYFUNCTION("""COMPUTED_VALUE"""),"")</f>
        <v/>
      </c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20.25" customHeight="1" x14ac:dyDescent="0.25">
      <c r="A140" s="5"/>
      <c r="B140" s="35"/>
      <c r="C140" s="36"/>
      <c r="D140" s="37"/>
      <c r="E140" s="36"/>
      <c r="F140" s="36"/>
      <c r="G140" s="38" t="str">
        <f ca="1">IFERROR(__xludf.DUMMYFUNCTION("""COMPUTED_VALUE"""),"")</f>
        <v/>
      </c>
      <c r="H140" s="38" t="str">
        <f ca="1">IFERROR(__xludf.DUMMYFUNCTION("""COMPUTED_VALUE"""),"")</f>
        <v/>
      </c>
      <c r="I140" s="38" t="str">
        <f ca="1">IFERROR(__xludf.DUMMYFUNCTION("""COMPUTED_VALUE"""),"")</f>
        <v/>
      </c>
      <c r="J140" s="39" t="str">
        <f ca="1">IFERROR(__xludf.DUMMYFUNCTION("""COMPUTED_VALUE"""),"")</f>
        <v/>
      </c>
      <c r="K140" s="39" t="str">
        <f ca="1">IFERROR(__xludf.DUMMYFUNCTION("""COMPUTED_VALUE"""),"")</f>
        <v/>
      </c>
      <c r="L140" s="39" t="str">
        <f ca="1">IFERROR(__xludf.DUMMYFUNCTION("""COMPUTED_VALUE"""),"")</f>
        <v/>
      </c>
      <c r="M140" s="39" t="str">
        <f ca="1">IFERROR(__xludf.DUMMYFUNCTION("""COMPUTED_VALUE"""),"")</f>
        <v/>
      </c>
      <c r="N140" s="39" t="str">
        <f ca="1">IFERROR(__xludf.DUMMYFUNCTION("""COMPUTED_VALUE"""),"")</f>
        <v/>
      </c>
      <c r="O140" s="39" t="str">
        <f ca="1">IFERROR(__xludf.DUMMYFUNCTION("""COMPUTED_VALUE"""),"")</f>
        <v/>
      </c>
      <c r="P140" s="39" t="str">
        <f ca="1">IFERROR(__xludf.DUMMYFUNCTION("""COMPUTED_VALUE"""),"")</f>
        <v/>
      </c>
      <c r="Q140" s="39" t="str">
        <f ca="1">IFERROR(__xludf.DUMMYFUNCTION("""COMPUTED_VALUE"""),"")</f>
        <v/>
      </c>
      <c r="R140" s="39" t="str">
        <f ca="1">IFERROR(__xludf.DUMMYFUNCTION("""COMPUTED_VALUE"""),"")</f>
        <v/>
      </c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20.25" customHeight="1" x14ac:dyDescent="0.25">
      <c r="A141" s="5"/>
      <c r="B141" s="35"/>
      <c r="C141" s="36"/>
      <c r="D141" s="37"/>
      <c r="E141" s="36"/>
      <c r="F141" s="36"/>
      <c r="G141" s="38" t="str">
        <f ca="1">IFERROR(__xludf.DUMMYFUNCTION("""COMPUTED_VALUE"""),"")</f>
        <v/>
      </c>
      <c r="H141" s="38" t="str">
        <f ca="1">IFERROR(__xludf.DUMMYFUNCTION("""COMPUTED_VALUE"""),"")</f>
        <v/>
      </c>
      <c r="I141" s="38" t="str">
        <f ca="1">IFERROR(__xludf.DUMMYFUNCTION("""COMPUTED_VALUE"""),"")</f>
        <v/>
      </c>
      <c r="J141" s="39" t="str">
        <f ca="1">IFERROR(__xludf.DUMMYFUNCTION("""COMPUTED_VALUE"""),"")</f>
        <v/>
      </c>
      <c r="K141" s="39" t="str">
        <f ca="1">IFERROR(__xludf.DUMMYFUNCTION("""COMPUTED_VALUE"""),"")</f>
        <v/>
      </c>
      <c r="L141" s="39" t="str">
        <f ca="1">IFERROR(__xludf.DUMMYFUNCTION("""COMPUTED_VALUE"""),"")</f>
        <v/>
      </c>
      <c r="M141" s="39" t="str">
        <f ca="1">IFERROR(__xludf.DUMMYFUNCTION("""COMPUTED_VALUE"""),"")</f>
        <v/>
      </c>
      <c r="N141" s="39" t="str">
        <f ca="1">IFERROR(__xludf.DUMMYFUNCTION("""COMPUTED_VALUE"""),"")</f>
        <v/>
      </c>
      <c r="O141" s="39" t="str">
        <f ca="1">IFERROR(__xludf.DUMMYFUNCTION("""COMPUTED_VALUE"""),"")</f>
        <v/>
      </c>
      <c r="P141" s="39" t="str">
        <f ca="1">IFERROR(__xludf.DUMMYFUNCTION("""COMPUTED_VALUE"""),"")</f>
        <v/>
      </c>
      <c r="Q141" s="39" t="str">
        <f ca="1">IFERROR(__xludf.DUMMYFUNCTION("""COMPUTED_VALUE"""),"")</f>
        <v/>
      </c>
      <c r="R141" s="39" t="str">
        <f ca="1">IFERROR(__xludf.DUMMYFUNCTION("""COMPUTED_VALUE"""),"")</f>
        <v/>
      </c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20.25" customHeight="1" x14ac:dyDescent="0.25">
      <c r="A142" s="5"/>
      <c r="B142" s="35"/>
      <c r="C142" s="36"/>
      <c r="D142" s="37"/>
      <c r="E142" s="36"/>
      <c r="F142" s="36"/>
      <c r="G142" s="38" t="str">
        <f ca="1">IFERROR(__xludf.DUMMYFUNCTION("""COMPUTED_VALUE"""),"")</f>
        <v/>
      </c>
      <c r="H142" s="38" t="str">
        <f ca="1">IFERROR(__xludf.DUMMYFUNCTION("""COMPUTED_VALUE"""),"")</f>
        <v/>
      </c>
      <c r="I142" s="38" t="str">
        <f ca="1">IFERROR(__xludf.DUMMYFUNCTION("""COMPUTED_VALUE"""),"")</f>
        <v/>
      </c>
      <c r="J142" s="39" t="str">
        <f ca="1">IFERROR(__xludf.DUMMYFUNCTION("""COMPUTED_VALUE"""),"")</f>
        <v/>
      </c>
      <c r="K142" s="39" t="str">
        <f ca="1">IFERROR(__xludf.DUMMYFUNCTION("""COMPUTED_VALUE"""),"")</f>
        <v/>
      </c>
      <c r="L142" s="39" t="str">
        <f ca="1">IFERROR(__xludf.DUMMYFUNCTION("""COMPUTED_VALUE"""),"")</f>
        <v/>
      </c>
      <c r="M142" s="39" t="str">
        <f ca="1">IFERROR(__xludf.DUMMYFUNCTION("""COMPUTED_VALUE"""),"")</f>
        <v/>
      </c>
      <c r="N142" s="39" t="str">
        <f ca="1">IFERROR(__xludf.DUMMYFUNCTION("""COMPUTED_VALUE"""),"")</f>
        <v/>
      </c>
      <c r="O142" s="39" t="str">
        <f ca="1">IFERROR(__xludf.DUMMYFUNCTION("""COMPUTED_VALUE"""),"")</f>
        <v/>
      </c>
      <c r="P142" s="39" t="str">
        <f ca="1">IFERROR(__xludf.DUMMYFUNCTION("""COMPUTED_VALUE"""),"")</f>
        <v/>
      </c>
      <c r="Q142" s="39" t="str">
        <f ca="1">IFERROR(__xludf.DUMMYFUNCTION("""COMPUTED_VALUE"""),"")</f>
        <v/>
      </c>
      <c r="R142" s="39" t="str">
        <f ca="1">IFERROR(__xludf.DUMMYFUNCTION("""COMPUTED_VALUE"""),"")</f>
        <v/>
      </c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20.25" customHeight="1" x14ac:dyDescent="0.25">
      <c r="A143" s="5"/>
      <c r="B143" s="35"/>
      <c r="C143" s="36"/>
      <c r="D143" s="37"/>
      <c r="E143" s="36"/>
      <c r="F143" s="36"/>
      <c r="G143" s="38" t="str">
        <f ca="1">IFERROR(__xludf.DUMMYFUNCTION("""COMPUTED_VALUE"""),"")</f>
        <v/>
      </c>
      <c r="H143" s="38" t="str">
        <f ca="1">IFERROR(__xludf.DUMMYFUNCTION("""COMPUTED_VALUE"""),"")</f>
        <v/>
      </c>
      <c r="I143" s="38" t="str">
        <f ca="1">IFERROR(__xludf.DUMMYFUNCTION("""COMPUTED_VALUE"""),"")</f>
        <v/>
      </c>
      <c r="J143" s="39" t="str">
        <f ca="1">IFERROR(__xludf.DUMMYFUNCTION("""COMPUTED_VALUE"""),"")</f>
        <v/>
      </c>
      <c r="K143" s="39" t="str">
        <f ca="1">IFERROR(__xludf.DUMMYFUNCTION("""COMPUTED_VALUE"""),"")</f>
        <v/>
      </c>
      <c r="L143" s="39" t="str">
        <f ca="1">IFERROR(__xludf.DUMMYFUNCTION("""COMPUTED_VALUE"""),"")</f>
        <v/>
      </c>
      <c r="M143" s="39" t="str">
        <f ca="1">IFERROR(__xludf.DUMMYFUNCTION("""COMPUTED_VALUE"""),"")</f>
        <v/>
      </c>
      <c r="N143" s="39" t="str">
        <f ca="1">IFERROR(__xludf.DUMMYFUNCTION("""COMPUTED_VALUE"""),"")</f>
        <v/>
      </c>
      <c r="O143" s="39" t="str">
        <f ca="1">IFERROR(__xludf.DUMMYFUNCTION("""COMPUTED_VALUE"""),"")</f>
        <v/>
      </c>
      <c r="P143" s="39" t="str">
        <f ca="1">IFERROR(__xludf.DUMMYFUNCTION("""COMPUTED_VALUE"""),"")</f>
        <v/>
      </c>
      <c r="Q143" s="39" t="str">
        <f ca="1">IFERROR(__xludf.DUMMYFUNCTION("""COMPUTED_VALUE"""),"")</f>
        <v/>
      </c>
      <c r="R143" s="39" t="str">
        <f ca="1">IFERROR(__xludf.DUMMYFUNCTION("""COMPUTED_VALUE"""),"")</f>
        <v/>
      </c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20.25" customHeight="1" x14ac:dyDescent="0.25">
      <c r="A144" s="5"/>
      <c r="B144" s="35"/>
      <c r="C144" s="36"/>
      <c r="D144" s="37"/>
      <c r="E144" s="36"/>
      <c r="F144" s="36"/>
      <c r="G144" s="38" t="str">
        <f ca="1">IFERROR(__xludf.DUMMYFUNCTION("""COMPUTED_VALUE"""),"")</f>
        <v/>
      </c>
      <c r="H144" s="38" t="str">
        <f ca="1">IFERROR(__xludf.DUMMYFUNCTION("""COMPUTED_VALUE"""),"")</f>
        <v/>
      </c>
      <c r="I144" s="38" t="str">
        <f ca="1">IFERROR(__xludf.DUMMYFUNCTION("""COMPUTED_VALUE"""),"")</f>
        <v/>
      </c>
      <c r="J144" s="39" t="str">
        <f ca="1">IFERROR(__xludf.DUMMYFUNCTION("""COMPUTED_VALUE"""),"")</f>
        <v/>
      </c>
      <c r="K144" s="39" t="str">
        <f ca="1">IFERROR(__xludf.DUMMYFUNCTION("""COMPUTED_VALUE"""),"")</f>
        <v/>
      </c>
      <c r="L144" s="39" t="str">
        <f ca="1">IFERROR(__xludf.DUMMYFUNCTION("""COMPUTED_VALUE"""),"")</f>
        <v/>
      </c>
      <c r="M144" s="39" t="str">
        <f ca="1">IFERROR(__xludf.DUMMYFUNCTION("""COMPUTED_VALUE"""),"")</f>
        <v/>
      </c>
      <c r="N144" s="39" t="str">
        <f ca="1">IFERROR(__xludf.DUMMYFUNCTION("""COMPUTED_VALUE"""),"")</f>
        <v/>
      </c>
      <c r="O144" s="39" t="str">
        <f ca="1">IFERROR(__xludf.DUMMYFUNCTION("""COMPUTED_VALUE"""),"")</f>
        <v/>
      </c>
      <c r="P144" s="39" t="str">
        <f ca="1">IFERROR(__xludf.DUMMYFUNCTION("""COMPUTED_VALUE"""),"")</f>
        <v/>
      </c>
      <c r="Q144" s="39" t="str">
        <f ca="1">IFERROR(__xludf.DUMMYFUNCTION("""COMPUTED_VALUE"""),"")</f>
        <v/>
      </c>
      <c r="R144" s="39" t="str">
        <f ca="1">IFERROR(__xludf.DUMMYFUNCTION("""COMPUTED_VALUE"""),"")</f>
        <v/>
      </c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20.25" customHeight="1" x14ac:dyDescent="0.25">
      <c r="A145" s="5"/>
      <c r="B145" s="35"/>
      <c r="C145" s="36"/>
      <c r="D145" s="37"/>
      <c r="E145" s="36"/>
      <c r="F145" s="36"/>
      <c r="G145" s="38" t="str">
        <f ca="1">IFERROR(__xludf.DUMMYFUNCTION("""COMPUTED_VALUE"""),"")</f>
        <v/>
      </c>
      <c r="H145" s="38" t="str">
        <f ca="1">IFERROR(__xludf.DUMMYFUNCTION("""COMPUTED_VALUE"""),"")</f>
        <v/>
      </c>
      <c r="I145" s="38" t="str">
        <f ca="1">IFERROR(__xludf.DUMMYFUNCTION("""COMPUTED_VALUE"""),"")</f>
        <v/>
      </c>
      <c r="J145" s="39" t="str">
        <f ca="1">IFERROR(__xludf.DUMMYFUNCTION("""COMPUTED_VALUE"""),"")</f>
        <v/>
      </c>
      <c r="K145" s="39" t="str">
        <f ca="1">IFERROR(__xludf.DUMMYFUNCTION("""COMPUTED_VALUE"""),"")</f>
        <v/>
      </c>
      <c r="L145" s="39" t="str">
        <f ca="1">IFERROR(__xludf.DUMMYFUNCTION("""COMPUTED_VALUE"""),"")</f>
        <v/>
      </c>
      <c r="M145" s="39" t="str">
        <f ca="1">IFERROR(__xludf.DUMMYFUNCTION("""COMPUTED_VALUE"""),"")</f>
        <v/>
      </c>
      <c r="N145" s="39" t="str">
        <f ca="1">IFERROR(__xludf.DUMMYFUNCTION("""COMPUTED_VALUE"""),"")</f>
        <v/>
      </c>
      <c r="O145" s="39" t="str">
        <f ca="1">IFERROR(__xludf.DUMMYFUNCTION("""COMPUTED_VALUE"""),"")</f>
        <v/>
      </c>
      <c r="P145" s="39" t="str">
        <f ca="1">IFERROR(__xludf.DUMMYFUNCTION("""COMPUTED_VALUE"""),"")</f>
        <v/>
      </c>
      <c r="Q145" s="39" t="str">
        <f ca="1">IFERROR(__xludf.DUMMYFUNCTION("""COMPUTED_VALUE"""),"")</f>
        <v/>
      </c>
      <c r="R145" s="39" t="str">
        <f ca="1">IFERROR(__xludf.DUMMYFUNCTION("""COMPUTED_VALUE"""),"")</f>
        <v/>
      </c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20.25" customHeight="1" x14ac:dyDescent="0.25">
      <c r="A146" s="5"/>
      <c r="B146" s="35"/>
      <c r="C146" s="36"/>
      <c r="D146" s="37"/>
      <c r="E146" s="36"/>
      <c r="F146" s="36"/>
      <c r="G146" s="38" t="str">
        <f ca="1">IFERROR(__xludf.DUMMYFUNCTION("""COMPUTED_VALUE"""),"")</f>
        <v/>
      </c>
      <c r="H146" s="38" t="str">
        <f ca="1">IFERROR(__xludf.DUMMYFUNCTION("""COMPUTED_VALUE"""),"")</f>
        <v/>
      </c>
      <c r="I146" s="38" t="str">
        <f ca="1">IFERROR(__xludf.DUMMYFUNCTION("""COMPUTED_VALUE"""),"")</f>
        <v/>
      </c>
      <c r="J146" s="39" t="str">
        <f ca="1">IFERROR(__xludf.DUMMYFUNCTION("""COMPUTED_VALUE"""),"")</f>
        <v/>
      </c>
      <c r="K146" s="39" t="str">
        <f ca="1">IFERROR(__xludf.DUMMYFUNCTION("""COMPUTED_VALUE"""),"")</f>
        <v/>
      </c>
      <c r="L146" s="39" t="str">
        <f ca="1">IFERROR(__xludf.DUMMYFUNCTION("""COMPUTED_VALUE"""),"")</f>
        <v/>
      </c>
      <c r="M146" s="39" t="str">
        <f ca="1">IFERROR(__xludf.DUMMYFUNCTION("""COMPUTED_VALUE"""),"")</f>
        <v/>
      </c>
      <c r="N146" s="39" t="str">
        <f ca="1">IFERROR(__xludf.DUMMYFUNCTION("""COMPUTED_VALUE"""),"")</f>
        <v/>
      </c>
      <c r="O146" s="39" t="str">
        <f ca="1">IFERROR(__xludf.DUMMYFUNCTION("""COMPUTED_VALUE"""),"")</f>
        <v/>
      </c>
      <c r="P146" s="39" t="str">
        <f ca="1">IFERROR(__xludf.DUMMYFUNCTION("""COMPUTED_VALUE"""),"")</f>
        <v/>
      </c>
      <c r="Q146" s="39" t="str">
        <f ca="1">IFERROR(__xludf.DUMMYFUNCTION("""COMPUTED_VALUE"""),"")</f>
        <v/>
      </c>
      <c r="R146" s="39" t="str">
        <f ca="1">IFERROR(__xludf.DUMMYFUNCTION("""COMPUTED_VALUE"""),"")</f>
        <v/>
      </c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20.25" customHeight="1" x14ac:dyDescent="0.25">
      <c r="A147" s="5"/>
      <c r="B147" s="35"/>
      <c r="C147" s="36"/>
      <c r="D147" s="37"/>
      <c r="E147" s="36"/>
      <c r="F147" s="36"/>
      <c r="G147" s="38" t="str">
        <f ca="1">IFERROR(__xludf.DUMMYFUNCTION("""COMPUTED_VALUE"""),"")</f>
        <v/>
      </c>
      <c r="H147" s="38" t="str">
        <f ca="1">IFERROR(__xludf.DUMMYFUNCTION("""COMPUTED_VALUE"""),"")</f>
        <v/>
      </c>
      <c r="I147" s="38" t="str">
        <f ca="1">IFERROR(__xludf.DUMMYFUNCTION("""COMPUTED_VALUE"""),"")</f>
        <v/>
      </c>
      <c r="J147" s="39" t="str">
        <f ca="1">IFERROR(__xludf.DUMMYFUNCTION("""COMPUTED_VALUE"""),"")</f>
        <v/>
      </c>
      <c r="K147" s="39" t="str">
        <f ca="1">IFERROR(__xludf.DUMMYFUNCTION("""COMPUTED_VALUE"""),"")</f>
        <v/>
      </c>
      <c r="L147" s="39" t="str">
        <f ca="1">IFERROR(__xludf.DUMMYFUNCTION("""COMPUTED_VALUE"""),"")</f>
        <v/>
      </c>
      <c r="M147" s="39" t="str">
        <f ca="1">IFERROR(__xludf.DUMMYFUNCTION("""COMPUTED_VALUE"""),"")</f>
        <v/>
      </c>
      <c r="N147" s="39" t="str">
        <f ca="1">IFERROR(__xludf.DUMMYFUNCTION("""COMPUTED_VALUE"""),"")</f>
        <v/>
      </c>
      <c r="O147" s="39" t="str">
        <f ca="1">IFERROR(__xludf.DUMMYFUNCTION("""COMPUTED_VALUE"""),"")</f>
        <v/>
      </c>
      <c r="P147" s="39" t="str">
        <f ca="1">IFERROR(__xludf.DUMMYFUNCTION("""COMPUTED_VALUE"""),"")</f>
        <v/>
      </c>
      <c r="Q147" s="39" t="str">
        <f ca="1">IFERROR(__xludf.DUMMYFUNCTION("""COMPUTED_VALUE"""),"")</f>
        <v/>
      </c>
      <c r="R147" s="39" t="str">
        <f ca="1">IFERROR(__xludf.DUMMYFUNCTION("""COMPUTED_VALUE"""),"")</f>
        <v/>
      </c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20.25" customHeight="1" x14ac:dyDescent="0.25">
      <c r="A148" s="5"/>
      <c r="B148" s="35"/>
      <c r="C148" s="36"/>
      <c r="D148" s="37"/>
      <c r="E148" s="36"/>
      <c r="F148" s="36"/>
      <c r="G148" s="38" t="str">
        <f ca="1">IFERROR(__xludf.DUMMYFUNCTION("""COMPUTED_VALUE"""),"")</f>
        <v/>
      </c>
      <c r="H148" s="38" t="str">
        <f ca="1">IFERROR(__xludf.DUMMYFUNCTION("""COMPUTED_VALUE"""),"")</f>
        <v/>
      </c>
      <c r="I148" s="38" t="str">
        <f ca="1">IFERROR(__xludf.DUMMYFUNCTION("""COMPUTED_VALUE"""),"")</f>
        <v/>
      </c>
      <c r="J148" s="39" t="str">
        <f ca="1">IFERROR(__xludf.DUMMYFUNCTION("""COMPUTED_VALUE"""),"")</f>
        <v/>
      </c>
      <c r="K148" s="39" t="str">
        <f ca="1">IFERROR(__xludf.DUMMYFUNCTION("""COMPUTED_VALUE"""),"")</f>
        <v/>
      </c>
      <c r="L148" s="39" t="str">
        <f ca="1">IFERROR(__xludf.DUMMYFUNCTION("""COMPUTED_VALUE"""),"")</f>
        <v/>
      </c>
      <c r="M148" s="39" t="str">
        <f ca="1">IFERROR(__xludf.DUMMYFUNCTION("""COMPUTED_VALUE"""),"")</f>
        <v/>
      </c>
      <c r="N148" s="39" t="str">
        <f ca="1">IFERROR(__xludf.DUMMYFUNCTION("""COMPUTED_VALUE"""),"")</f>
        <v/>
      </c>
      <c r="O148" s="39" t="str">
        <f ca="1">IFERROR(__xludf.DUMMYFUNCTION("""COMPUTED_VALUE"""),"")</f>
        <v/>
      </c>
      <c r="P148" s="39" t="str">
        <f ca="1">IFERROR(__xludf.DUMMYFUNCTION("""COMPUTED_VALUE"""),"")</f>
        <v/>
      </c>
      <c r="Q148" s="39" t="str">
        <f ca="1">IFERROR(__xludf.DUMMYFUNCTION("""COMPUTED_VALUE"""),"")</f>
        <v/>
      </c>
      <c r="R148" s="39" t="str">
        <f ca="1">IFERROR(__xludf.DUMMYFUNCTION("""COMPUTED_VALUE"""),"")</f>
        <v/>
      </c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20.25" customHeight="1" x14ac:dyDescent="0.25">
      <c r="A149" s="5"/>
      <c r="B149" s="35"/>
      <c r="C149" s="36"/>
      <c r="D149" s="37"/>
      <c r="E149" s="36"/>
      <c r="F149" s="36"/>
      <c r="G149" s="38" t="str">
        <f ca="1">IFERROR(__xludf.DUMMYFUNCTION("""COMPUTED_VALUE"""),"")</f>
        <v/>
      </c>
      <c r="H149" s="38" t="str">
        <f ca="1">IFERROR(__xludf.DUMMYFUNCTION("""COMPUTED_VALUE"""),"")</f>
        <v/>
      </c>
      <c r="I149" s="38" t="str">
        <f ca="1">IFERROR(__xludf.DUMMYFUNCTION("""COMPUTED_VALUE"""),"")</f>
        <v/>
      </c>
      <c r="J149" s="39" t="str">
        <f ca="1">IFERROR(__xludf.DUMMYFUNCTION("""COMPUTED_VALUE"""),"")</f>
        <v/>
      </c>
      <c r="K149" s="39" t="str">
        <f ca="1">IFERROR(__xludf.DUMMYFUNCTION("""COMPUTED_VALUE"""),"")</f>
        <v/>
      </c>
      <c r="L149" s="39" t="str">
        <f ca="1">IFERROR(__xludf.DUMMYFUNCTION("""COMPUTED_VALUE"""),"")</f>
        <v/>
      </c>
      <c r="M149" s="39" t="str">
        <f ca="1">IFERROR(__xludf.DUMMYFUNCTION("""COMPUTED_VALUE"""),"")</f>
        <v/>
      </c>
      <c r="N149" s="39" t="str">
        <f ca="1">IFERROR(__xludf.DUMMYFUNCTION("""COMPUTED_VALUE"""),"")</f>
        <v/>
      </c>
      <c r="O149" s="39" t="str">
        <f ca="1">IFERROR(__xludf.DUMMYFUNCTION("""COMPUTED_VALUE"""),"")</f>
        <v/>
      </c>
      <c r="P149" s="39" t="str">
        <f ca="1">IFERROR(__xludf.DUMMYFUNCTION("""COMPUTED_VALUE"""),"")</f>
        <v/>
      </c>
      <c r="Q149" s="39" t="str">
        <f ca="1">IFERROR(__xludf.DUMMYFUNCTION("""COMPUTED_VALUE"""),"")</f>
        <v/>
      </c>
      <c r="R149" s="39" t="str">
        <f ca="1">IFERROR(__xludf.DUMMYFUNCTION("""COMPUTED_VALUE"""),"")</f>
        <v/>
      </c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20.25" customHeight="1" x14ac:dyDescent="0.25">
      <c r="A150" s="5"/>
      <c r="B150" s="35"/>
      <c r="C150" s="36"/>
      <c r="D150" s="37"/>
      <c r="E150" s="36"/>
      <c r="F150" s="36"/>
      <c r="G150" s="38" t="str">
        <f ca="1">IFERROR(__xludf.DUMMYFUNCTION("""COMPUTED_VALUE"""),"")</f>
        <v/>
      </c>
      <c r="H150" s="38" t="str">
        <f ca="1">IFERROR(__xludf.DUMMYFUNCTION("""COMPUTED_VALUE"""),"")</f>
        <v/>
      </c>
      <c r="I150" s="38" t="str">
        <f ca="1">IFERROR(__xludf.DUMMYFUNCTION("""COMPUTED_VALUE"""),"")</f>
        <v/>
      </c>
      <c r="J150" s="39" t="str">
        <f ca="1">IFERROR(__xludf.DUMMYFUNCTION("""COMPUTED_VALUE"""),"")</f>
        <v/>
      </c>
      <c r="K150" s="39" t="str">
        <f ca="1">IFERROR(__xludf.DUMMYFUNCTION("""COMPUTED_VALUE"""),"")</f>
        <v/>
      </c>
      <c r="L150" s="39" t="str">
        <f ca="1">IFERROR(__xludf.DUMMYFUNCTION("""COMPUTED_VALUE"""),"")</f>
        <v/>
      </c>
      <c r="M150" s="39" t="str">
        <f ca="1">IFERROR(__xludf.DUMMYFUNCTION("""COMPUTED_VALUE"""),"")</f>
        <v/>
      </c>
      <c r="N150" s="39" t="str">
        <f ca="1">IFERROR(__xludf.DUMMYFUNCTION("""COMPUTED_VALUE"""),"")</f>
        <v/>
      </c>
      <c r="O150" s="39" t="str">
        <f ca="1">IFERROR(__xludf.DUMMYFUNCTION("""COMPUTED_VALUE"""),"")</f>
        <v/>
      </c>
      <c r="P150" s="39" t="str">
        <f ca="1">IFERROR(__xludf.DUMMYFUNCTION("""COMPUTED_VALUE"""),"")</f>
        <v/>
      </c>
      <c r="Q150" s="39" t="str">
        <f ca="1">IFERROR(__xludf.DUMMYFUNCTION("""COMPUTED_VALUE"""),"")</f>
        <v/>
      </c>
      <c r="R150" s="39" t="str">
        <f ca="1">IFERROR(__xludf.DUMMYFUNCTION("""COMPUTED_VALUE"""),"")</f>
        <v/>
      </c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20.25" customHeight="1" x14ac:dyDescent="0.25">
      <c r="A151" s="5"/>
      <c r="B151" s="35"/>
      <c r="C151" s="36"/>
      <c r="D151" s="37"/>
      <c r="E151" s="36"/>
      <c r="F151" s="36"/>
      <c r="G151" s="38" t="str">
        <f ca="1">IFERROR(__xludf.DUMMYFUNCTION("""COMPUTED_VALUE"""),"")</f>
        <v/>
      </c>
      <c r="H151" s="38" t="str">
        <f ca="1">IFERROR(__xludf.DUMMYFUNCTION("""COMPUTED_VALUE"""),"")</f>
        <v/>
      </c>
      <c r="I151" s="38" t="str">
        <f ca="1">IFERROR(__xludf.DUMMYFUNCTION("""COMPUTED_VALUE"""),"")</f>
        <v/>
      </c>
      <c r="J151" s="39" t="str">
        <f ca="1">IFERROR(__xludf.DUMMYFUNCTION("""COMPUTED_VALUE"""),"")</f>
        <v/>
      </c>
      <c r="K151" s="39" t="str">
        <f ca="1">IFERROR(__xludf.DUMMYFUNCTION("""COMPUTED_VALUE"""),"")</f>
        <v/>
      </c>
      <c r="L151" s="39" t="str">
        <f ca="1">IFERROR(__xludf.DUMMYFUNCTION("""COMPUTED_VALUE"""),"")</f>
        <v/>
      </c>
      <c r="M151" s="39" t="str">
        <f ca="1">IFERROR(__xludf.DUMMYFUNCTION("""COMPUTED_VALUE"""),"")</f>
        <v/>
      </c>
      <c r="N151" s="39" t="str">
        <f ca="1">IFERROR(__xludf.DUMMYFUNCTION("""COMPUTED_VALUE"""),"")</f>
        <v/>
      </c>
      <c r="O151" s="39" t="str">
        <f ca="1">IFERROR(__xludf.DUMMYFUNCTION("""COMPUTED_VALUE"""),"")</f>
        <v/>
      </c>
      <c r="P151" s="39" t="str">
        <f ca="1">IFERROR(__xludf.DUMMYFUNCTION("""COMPUTED_VALUE"""),"")</f>
        <v/>
      </c>
      <c r="Q151" s="39" t="str">
        <f ca="1">IFERROR(__xludf.DUMMYFUNCTION("""COMPUTED_VALUE"""),"")</f>
        <v/>
      </c>
      <c r="R151" s="39" t="str">
        <f ca="1">IFERROR(__xludf.DUMMYFUNCTION("""COMPUTED_VALUE"""),"")</f>
        <v/>
      </c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20.25" customHeight="1" x14ac:dyDescent="0.25">
      <c r="A152" s="5"/>
      <c r="B152" s="35"/>
      <c r="C152" s="36"/>
      <c r="D152" s="37"/>
      <c r="E152" s="36"/>
      <c r="F152" s="36"/>
      <c r="G152" s="38" t="str">
        <f ca="1">IFERROR(__xludf.DUMMYFUNCTION("""COMPUTED_VALUE"""),"")</f>
        <v/>
      </c>
      <c r="H152" s="38" t="str">
        <f ca="1">IFERROR(__xludf.DUMMYFUNCTION("""COMPUTED_VALUE"""),"")</f>
        <v/>
      </c>
      <c r="I152" s="38" t="str">
        <f ca="1">IFERROR(__xludf.DUMMYFUNCTION("""COMPUTED_VALUE"""),"")</f>
        <v/>
      </c>
      <c r="J152" s="39" t="str">
        <f ca="1">IFERROR(__xludf.DUMMYFUNCTION("""COMPUTED_VALUE"""),"")</f>
        <v/>
      </c>
      <c r="K152" s="39" t="str">
        <f ca="1">IFERROR(__xludf.DUMMYFUNCTION("""COMPUTED_VALUE"""),"")</f>
        <v/>
      </c>
      <c r="L152" s="39" t="str">
        <f ca="1">IFERROR(__xludf.DUMMYFUNCTION("""COMPUTED_VALUE"""),"")</f>
        <v/>
      </c>
      <c r="M152" s="39" t="str">
        <f ca="1">IFERROR(__xludf.DUMMYFUNCTION("""COMPUTED_VALUE"""),"")</f>
        <v/>
      </c>
      <c r="N152" s="39" t="str">
        <f ca="1">IFERROR(__xludf.DUMMYFUNCTION("""COMPUTED_VALUE"""),"")</f>
        <v/>
      </c>
      <c r="O152" s="39" t="str">
        <f ca="1">IFERROR(__xludf.DUMMYFUNCTION("""COMPUTED_VALUE"""),"")</f>
        <v/>
      </c>
      <c r="P152" s="39" t="str">
        <f ca="1">IFERROR(__xludf.DUMMYFUNCTION("""COMPUTED_VALUE"""),"")</f>
        <v/>
      </c>
      <c r="Q152" s="39" t="str">
        <f ca="1">IFERROR(__xludf.DUMMYFUNCTION("""COMPUTED_VALUE"""),"")</f>
        <v/>
      </c>
      <c r="R152" s="39" t="str">
        <f ca="1">IFERROR(__xludf.DUMMYFUNCTION("""COMPUTED_VALUE"""),"")</f>
        <v/>
      </c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20.25" customHeight="1" x14ac:dyDescent="0.25">
      <c r="A153" s="5"/>
      <c r="B153" s="35"/>
      <c r="C153" s="36"/>
      <c r="D153" s="37"/>
      <c r="E153" s="36"/>
      <c r="F153" s="36"/>
      <c r="G153" s="38" t="str">
        <f ca="1">IFERROR(__xludf.DUMMYFUNCTION("""COMPUTED_VALUE"""),"")</f>
        <v/>
      </c>
      <c r="H153" s="38" t="str">
        <f ca="1">IFERROR(__xludf.DUMMYFUNCTION("""COMPUTED_VALUE"""),"")</f>
        <v/>
      </c>
      <c r="I153" s="38" t="str">
        <f ca="1">IFERROR(__xludf.DUMMYFUNCTION("""COMPUTED_VALUE"""),"")</f>
        <v/>
      </c>
      <c r="J153" s="39" t="str">
        <f ca="1">IFERROR(__xludf.DUMMYFUNCTION("""COMPUTED_VALUE"""),"")</f>
        <v/>
      </c>
      <c r="K153" s="39" t="str">
        <f ca="1">IFERROR(__xludf.DUMMYFUNCTION("""COMPUTED_VALUE"""),"")</f>
        <v/>
      </c>
      <c r="L153" s="39" t="str">
        <f ca="1">IFERROR(__xludf.DUMMYFUNCTION("""COMPUTED_VALUE"""),"")</f>
        <v/>
      </c>
      <c r="M153" s="39" t="str">
        <f ca="1">IFERROR(__xludf.DUMMYFUNCTION("""COMPUTED_VALUE"""),"")</f>
        <v/>
      </c>
      <c r="N153" s="39" t="str">
        <f ca="1">IFERROR(__xludf.DUMMYFUNCTION("""COMPUTED_VALUE"""),"")</f>
        <v/>
      </c>
      <c r="O153" s="39" t="str">
        <f ca="1">IFERROR(__xludf.DUMMYFUNCTION("""COMPUTED_VALUE"""),"")</f>
        <v/>
      </c>
      <c r="P153" s="39" t="str">
        <f ca="1">IFERROR(__xludf.DUMMYFUNCTION("""COMPUTED_VALUE"""),"")</f>
        <v/>
      </c>
      <c r="Q153" s="39" t="str">
        <f ca="1">IFERROR(__xludf.DUMMYFUNCTION("""COMPUTED_VALUE"""),"")</f>
        <v/>
      </c>
      <c r="R153" s="39" t="str">
        <f ca="1">IFERROR(__xludf.DUMMYFUNCTION("""COMPUTED_VALUE"""),"")</f>
        <v/>
      </c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20.25" customHeight="1" x14ac:dyDescent="0.25">
      <c r="A154" s="5"/>
      <c r="B154" s="35"/>
      <c r="C154" s="36"/>
      <c r="D154" s="37"/>
      <c r="E154" s="36"/>
      <c r="F154" s="36"/>
      <c r="G154" s="38" t="str">
        <f ca="1">IFERROR(__xludf.DUMMYFUNCTION("""COMPUTED_VALUE"""),"")</f>
        <v/>
      </c>
      <c r="H154" s="38" t="str">
        <f ca="1">IFERROR(__xludf.DUMMYFUNCTION("""COMPUTED_VALUE"""),"")</f>
        <v/>
      </c>
      <c r="I154" s="38" t="str">
        <f ca="1">IFERROR(__xludf.DUMMYFUNCTION("""COMPUTED_VALUE"""),"")</f>
        <v/>
      </c>
      <c r="J154" s="39" t="str">
        <f ca="1">IFERROR(__xludf.DUMMYFUNCTION("""COMPUTED_VALUE"""),"")</f>
        <v/>
      </c>
      <c r="K154" s="39" t="str">
        <f ca="1">IFERROR(__xludf.DUMMYFUNCTION("""COMPUTED_VALUE"""),"")</f>
        <v/>
      </c>
      <c r="L154" s="39" t="str">
        <f ca="1">IFERROR(__xludf.DUMMYFUNCTION("""COMPUTED_VALUE"""),"")</f>
        <v/>
      </c>
      <c r="M154" s="39" t="str">
        <f ca="1">IFERROR(__xludf.DUMMYFUNCTION("""COMPUTED_VALUE"""),"")</f>
        <v/>
      </c>
      <c r="N154" s="39" t="str">
        <f ca="1">IFERROR(__xludf.DUMMYFUNCTION("""COMPUTED_VALUE"""),"")</f>
        <v/>
      </c>
      <c r="O154" s="39" t="str">
        <f ca="1">IFERROR(__xludf.DUMMYFUNCTION("""COMPUTED_VALUE"""),"")</f>
        <v/>
      </c>
      <c r="P154" s="39" t="str">
        <f ca="1">IFERROR(__xludf.DUMMYFUNCTION("""COMPUTED_VALUE"""),"")</f>
        <v/>
      </c>
      <c r="Q154" s="39" t="str">
        <f ca="1">IFERROR(__xludf.DUMMYFUNCTION("""COMPUTED_VALUE"""),"")</f>
        <v/>
      </c>
      <c r="R154" s="39" t="str">
        <f ca="1">IFERROR(__xludf.DUMMYFUNCTION("""COMPUTED_VALUE"""),"")</f>
        <v/>
      </c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20.25" customHeight="1" x14ac:dyDescent="0.25">
      <c r="A155" s="5"/>
      <c r="B155" s="35"/>
      <c r="C155" s="36"/>
      <c r="D155" s="37"/>
      <c r="E155" s="36"/>
      <c r="F155" s="36"/>
      <c r="G155" s="38" t="str">
        <f ca="1">IFERROR(__xludf.DUMMYFUNCTION("""COMPUTED_VALUE"""),"")</f>
        <v/>
      </c>
      <c r="H155" s="38" t="str">
        <f ca="1">IFERROR(__xludf.DUMMYFUNCTION("""COMPUTED_VALUE"""),"")</f>
        <v/>
      </c>
      <c r="I155" s="38" t="str">
        <f ca="1">IFERROR(__xludf.DUMMYFUNCTION("""COMPUTED_VALUE"""),"")</f>
        <v/>
      </c>
      <c r="J155" s="39" t="str">
        <f ca="1">IFERROR(__xludf.DUMMYFUNCTION("""COMPUTED_VALUE"""),"")</f>
        <v/>
      </c>
      <c r="K155" s="39" t="str">
        <f ca="1">IFERROR(__xludf.DUMMYFUNCTION("""COMPUTED_VALUE"""),"")</f>
        <v/>
      </c>
      <c r="L155" s="39" t="str">
        <f ca="1">IFERROR(__xludf.DUMMYFUNCTION("""COMPUTED_VALUE"""),"")</f>
        <v/>
      </c>
      <c r="M155" s="39" t="str">
        <f ca="1">IFERROR(__xludf.DUMMYFUNCTION("""COMPUTED_VALUE"""),"")</f>
        <v/>
      </c>
      <c r="N155" s="39" t="str">
        <f ca="1">IFERROR(__xludf.DUMMYFUNCTION("""COMPUTED_VALUE"""),"")</f>
        <v/>
      </c>
      <c r="O155" s="39" t="str">
        <f ca="1">IFERROR(__xludf.DUMMYFUNCTION("""COMPUTED_VALUE"""),"")</f>
        <v/>
      </c>
      <c r="P155" s="39" t="str">
        <f ca="1">IFERROR(__xludf.DUMMYFUNCTION("""COMPUTED_VALUE"""),"")</f>
        <v/>
      </c>
      <c r="Q155" s="39" t="str">
        <f ca="1">IFERROR(__xludf.DUMMYFUNCTION("""COMPUTED_VALUE"""),"")</f>
        <v/>
      </c>
      <c r="R155" s="39" t="str">
        <f ca="1">IFERROR(__xludf.DUMMYFUNCTION("""COMPUTED_VALUE"""),"")</f>
        <v/>
      </c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20.25" customHeight="1" x14ac:dyDescent="0.25">
      <c r="A156" s="5"/>
      <c r="B156" s="35"/>
      <c r="C156" s="36"/>
      <c r="D156" s="37"/>
      <c r="E156" s="36"/>
      <c r="F156" s="36"/>
      <c r="G156" s="38" t="str">
        <f ca="1">IFERROR(__xludf.DUMMYFUNCTION("""COMPUTED_VALUE"""),"")</f>
        <v/>
      </c>
      <c r="H156" s="38" t="str">
        <f ca="1">IFERROR(__xludf.DUMMYFUNCTION("""COMPUTED_VALUE"""),"")</f>
        <v/>
      </c>
      <c r="I156" s="38" t="str">
        <f ca="1">IFERROR(__xludf.DUMMYFUNCTION("""COMPUTED_VALUE"""),"")</f>
        <v/>
      </c>
      <c r="J156" s="39" t="str">
        <f ca="1">IFERROR(__xludf.DUMMYFUNCTION("""COMPUTED_VALUE"""),"")</f>
        <v/>
      </c>
      <c r="K156" s="39" t="str">
        <f ca="1">IFERROR(__xludf.DUMMYFUNCTION("""COMPUTED_VALUE"""),"")</f>
        <v/>
      </c>
      <c r="L156" s="39" t="str">
        <f ca="1">IFERROR(__xludf.DUMMYFUNCTION("""COMPUTED_VALUE"""),"")</f>
        <v/>
      </c>
      <c r="M156" s="39" t="str">
        <f ca="1">IFERROR(__xludf.DUMMYFUNCTION("""COMPUTED_VALUE"""),"")</f>
        <v/>
      </c>
      <c r="N156" s="39" t="str">
        <f ca="1">IFERROR(__xludf.DUMMYFUNCTION("""COMPUTED_VALUE"""),"")</f>
        <v/>
      </c>
      <c r="O156" s="39" t="str">
        <f ca="1">IFERROR(__xludf.DUMMYFUNCTION("""COMPUTED_VALUE"""),"")</f>
        <v/>
      </c>
      <c r="P156" s="39" t="str">
        <f ca="1">IFERROR(__xludf.DUMMYFUNCTION("""COMPUTED_VALUE"""),"")</f>
        <v/>
      </c>
      <c r="Q156" s="39" t="str">
        <f ca="1">IFERROR(__xludf.DUMMYFUNCTION("""COMPUTED_VALUE"""),"")</f>
        <v/>
      </c>
      <c r="R156" s="39" t="str">
        <f ca="1">IFERROR(__xludf.DUMMYFUNCTION("""COMPUTED_VALUE"""),"")</f>
        <v/>
      </c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20.25" customHeight="1" x14ac:dyDescent="0.25">
      <c r="A157" s="5"/>
      <c r="B157" s="35"/>
      <c r="C157" s="36"/>
      <c r="D157" s="37"/>
      <c r="E157" s="36"/>
      <c r="F157" s="36"/>
      <c r="G157" s="38" t="str">
        <f ca="1">IFERROR(__xludf.DUMMYFUNCTION("""COMPUTED_VALUE"""),"")</f>
        <v/>
      </c>
      <c r="H157" s="38" t="str">
        <f ca="1">IFERROR(__xludf.DUMMYFUNCTION("""COMPUTED_VALUE"""),"")</f>
        <v/>
      </c>
      <c r="I157" s="38" t="str">
        <f ca="1">IFERROR(__xludf.DUMMYFUNCTION("""COMPUTED_VALUE"""),"")</f>
        <v/>
      </c>
      <c r="J157" s="39" t="str">
        <f ca="1">IFERROR(__xludf.DUMMYFUNCTION("""COMPUTED_VALUE"""),"")</f>
        <v/>
      </c>
      <c r="K157" s="39" t="str">
        <f ca="1">IFERROR(__xludf.DUMMYFUNCTION("""COMPUTED_VALUE"""),"")</f>
        <v/>
      </c>
      <c r="L157" s="39" t="str">
        <f ca="1">IFERROR(__xludf.DUMMYFUNCTION("""COMPUTED_VALUE"""),"")</f>
        <v/>
      </c>
      <c r="M157" s="39" t="str">
        <f ca="1">IFERROR(__xludf.DUMMYFUNCTION("""COMPUTED_VALUE"""),"")</f>
        <v/>
      </c>
      <c r="N157" s="39" t="str">
        <f ca="1">IFERROR(__xludf.DUMMYFUNCTION("""COMPUTED_VALUE"""),"")</f>
        <v/>
      </c>
      <c r="O157" s="39" t="str">
        <f ca="1">IFERROR(__xludf.DUMMYFUNCTION("""COMPUTED_VALUE"""),"")</f>
        <v/>
      </c>
      <c r="P157" s="39" t="str">
        <f ca="1">IFERROR(__xludf.DUMMYFUNCTION("""COMPUTED_VALUE"""),"")</f>
        <v/>
      </c>
      <c r="Q157" s="39" t="str">
        <f ca="1">IFERROR(__xludf.DUMMYFUNCTION("""COMPUTED_VALUE"""),"")</f>
        <v/>
      </c>
      <c r="R157" s="39" t="str">
        <f ca="1">IFERROR(__xludf.DUMMYFUNCTION("""COMPUTED_VALUE"""),"")</f>
        <v/>
      </c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20.25" customHeight="1" x14ac:dyDescent="0.25">
      <c r="A158" s="5"/>
      <c r="B158" s="35"/>
      <c r="C158" s="36"/>
      <c r="D158" s="37"/>
      <c r="E158" s="36"/>
      <c r="F158" s="36"/>
      <c r="G158" s="38" t="str">
        <f ca="1">IFERROR(__xludf.DUMMYFUNCTION("""COMPUTED_VALUE"""),"")</f>
        <v/>
      </c>
      <c r="H158" s="38" t="str">
        <f ca="1">IFERROR(__xludf.DUMMYFUNCTION("""COMPUTED_VALUE"""),"")</f>
        <v/>
      </c>
      <c r="I158" s="38" t="str">
        <f ca="1">IFERROR(__xludf.DUMMYFUNCTION("""COMPUTED_VALUE"""),"")</f>
        <v/>
      </c>
      <c r="J158" s="39" t="str">
        <f ca="1">IFERROR(__xludf.DUMMYFUNCTION("""COMPUTED_VALUE"""),"")</f>
        <v/>
      </c>
      <c r="K158" s="39" t="str">
        <f ca="1">IFERROR(__xludf.DUMMYFUNCTION("""COMPUTED_VALUE"""),"")</f>
        <v/>
      </c>
      <c r="L158" s="39" t="str">
        <f ca="1">IFERROR(__xludf.DUMMYFUNCTION("""COMPUTED_VALUE"""),"")</f>
        <v/>
      </c>
      <c r="M158" s="39" t="str">
        <f ca="1">IFERROR(__xludf.DUMMYFUNCTION("""COMPUTED_VALUE"""),"")</f>
        <v/>
      </c>
      <c r="N158" s="39" t="str">
        <f ca="1">IFERROR(__xludf.DUMMYFUNCTION("""COMPUTED_VALUE"""),"")</f>
        <v/>
      </c>
      <c r="O158" s="39" t="str">
        <f ca="1">IFERROR(__xludf.DUMMYFUNCTION("""COMPUTED_VALUE"""),"")</f>
        <v/>
      </c>
      <c r="P158" s="39" t="str">
        <f ca="1">IFERROR(__xludf.DUMMYFUNCTION("""COMPUTED_VALUE"""),"")</f>
        <v/>
      </c>
      <c r="Q158" s="39" t="str">
        <f ca="1">IFERROR(__xludf.DUMMYFUNCTION("""COMPUTED_VALUE"""),"")</f>
        <v/>
      </c>
      <c r="R158" s="39" t="str">
        <f ca="1">IFERROR(__xludf.DUMMYFUNCTION("""COMPUTED_VALUE"""),"")</f>
        <v/>
      </c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20.25" customHeight="1" x14ac:dyDescent="0.25">
      <c r="A159" s="5"/>
      <c r="B159" s="35"/>
      <c r="C159" s="36"/>
      <c r="D159" s="37"/>
      <c r="E159" s="36"/>
      <c r="F159" s="36"/>
      <c r="G159" s="38" t="str">
        <f ca="1">IFERROR(__xludf.DUMMYFUNCTION("""COMPUTED_VALUE"""),"")</f>
        <v/>
      </c>
      <c r="H159" s="38" t="str">
        <f ca="1">IFERROR(__xludf.DUMMYFUNCTION("""COMPUTED_VALUE"""),"")</f>
        <v/>
      </c>
      <c r="I159" s="38" t="str">
        <f ca="1">IFERROR(__xludf.DUMMYFUNCTION("""COMPUTED_VALUE"""),"")</f>
        <v/>
      </c>
      <c r="J159" s="39" t="str">
        <f ca="1">IFERROR(__xludf.DUMMYFUNCTION("""COMPUTED_VALUE"""),"")</f>
        <v/>
      </c>
      <c r="K159" s="39" t="str">
        <f ca="1">IFERROR(__xludf.DUMMYFUNCTION("""COMPUTED_VALUE"""),"")</f>
        <v/>
      </c>
      <c r="L159" s="39" t="str">
        <f ca="1">IFERROR(__xludf.DUMMYFUNCTION("""COMPUTED_VALUE"""),"")</f>
        <v/>
      </c>
      <c r="M159" s="39" t="str">
        <f ca="1">IFERROR(__xludf.DUMMYFUNCTION("""COMPUTED_VALUE"""),"")</f>
        <v/>
      </c>
      <c r="N159" s="39" t="str">
        <f ca="1">IFERROR(__xludf.DUMMYFUNCTION("""COMPUTED_VALUE"""),"")</f>
        <v/>
      </c>
      <c r="O159" s="39" t="str">
        <f ca="1">IFERROR(__xludf.DUMMYFUNCTION("""COMPUTED_VALUE"""),"")</f>
        <v/>
      </c>
      <c r="P159" s="39" t="str">
        <f ca="1">IFERROR(__xludf.DUMMYFUNCTION("""COMPUTED_VALUE"""),"")</f>
        <v/>
      </c>
      <c r="Q159" s="39" t="str">
        <f ca="1">IFERROR(__xludf.DUMMYFUNCTION("""COMPUTED_VALUE"""),"")</f>
        <v/>
      </c>
      <c r="R159" s="39" t="str">
        <f ca="1">IFERROR(__xludf.DUMMYFUNCTION("""COMPUTED_VALUE"""),"")</f>
        <v/>
      </c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20.25" customHeight="1" x14ac:dyDescent="0.25">
      <c r="A160" s="5"/>
      <c r="B160" s="35"/>
      <c r="C160" s="36"/>
      <c r="D160" s="37"/>
      <c r="E160" s="36"/>
      <c r="F160" s="36"/>
      <c r="G160" s="38" t="str">
        <f ca="1">IFERROR(__xludf.DUMMYFUNCTION("""COMPUTED_VALUE"""),"")</f>
        <v/>
      </c>
      <c r="H160" s="38" t="str">
        <f ca="1">IFERROR(__xludf.DUMMYFUNCTION("""COMPUTED_VALUE"""),"")</f>
        <v/>
      </c>
      <c r="I160" s="38" t="str">
        <f ca="1">IFERROR(__xludf.DUMMYFUNCTION("""COMPUTED_VALUE"""),"")</f>
        <v/>
      </c>
      <c r="J160" s="39" t="str">
        <f ca="1">IFERROR(__xludf.DUMMYFUNCTION("""COMPUTED_VALUE"""),"")</f>
        <v/>
      </c>
      <c r="K160" s="39" t="str">
        <f ca="1">IFERROR(__xludf.DUMMYFUNCTION("""COMPUTED_VALUE"""),"")</f>
        <v/>
      </c>
      <c r="L160" s="39" t="str">
        <f ca="1">IFERROR(__xludf.DUMMYFUNCTION("""COMPUTED_VALUE"""),"")</f>
        <v/>
      </c>
      <c r="M160" s="39" t="str">
        <f ca="1">IFERROR(__xludf.DUMMYFUNCTION("""COMPUTED_VALUE"""),"")</f>
        <v/>
      </c>
      <c r="N160" s="39" t="str">
        <f ca="1">IFERROR(__xludf.DUMMYFUNCTION("""COMPUTED_VALUE"""),"")</f>
        <v/>
      </c>
      <c r="O160" s="39" t="str">
        <f ca="1">IFERROR(__xludf.DUMMYFUNCTION("""COMPUTED_VALUE"""),"")</f>
        <v/>
      </c>
      <c r="P160" s="39" t="str">
        <f ca="1">IFERROR(__xludf.DUMMYFUNCTION("""COMPUTED_VALUE"""),"")</f>
        <v/>
      </c>
      <c r="Q160" s="39" t="str">
        <f ca="1">IFERROR(__xludf.DUMMYFUNCTION("""COMPUTED_VALUE"""),"")</f>
        <v/>
      </c>
      <c r="R160" s="39" t="str">
        <f ca="1">IFERROR(__xludf.DUMMYFUNCTION("""COMPUTED_VALUE"""),"")</f>
        <v/>
      </c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20.25" customHeight="1" x14ac:dyDescent="0.25">
      <c r="A161" s="5"/>
      <c r="B161" s="35"/>
      <c r="C161" s="36"/>
      <c r="D161" s="37"/>
      <c r="E161" s="36"/>
      <c r="F161" s="36"/>
      <c r="G161" s="38" t="str">
        <f ca="1">IFERROR(__xludf.DUMMYFUNCTION("""COMPUTED_VALUE"""),"")</f>
        <v/>
      </c>
      <c r="H161" s="38" t="str">
        <f ca="1">IFERROR(__xludf.DUMMYFUNCTION("""COMPUTED_VALUE"""),"")</f>
        <v/>
      </c>
      <c r="I161" s="38" t="str">
        <f ca="1">IFERROR(__xludf.DUMMYFUNCTION("""COMPUTED_VALUE"""),"")</f>
        <v/>
      </c>
      <c r="J161" s="39" t="str">
        <f ca="1">IFERROR(__xludf.DUMMYFUNCTION("""COMPUTED_VALUE"""),"")</f>
        <v/>
      </c>
      <c r="K161" s="39" t="str">
        <f ca="1">IFERROR(__xludf.DUMMYFUNCTION("""COMPUTED_VALUE"""),"")</f>
        <v/>
      </c>
      <c r="L161" s="39" t="str">
        <f ca="1">IFERROR(__xludf.DUMMYFUNCTION("""COMPUTED_VALUE"""),"")</f>
        <v/>
      </c>
      <c r="M161" s="39" t="str">
        <f ca="1">IFERROR(__xludf.DUMMYFUNCTION("""COMPUTED_VALUE"""),"")</f>
        <v/>
      </c>
      <c r="N161" s="39" t="str">
        <f ca="1">IFERROR(__xludf.DUMMYFUNCTION("""COMPUTED_VALUE"""),"")</f>
        <v/>
      </c>
      <c r="O161" s="39" t="str">
        <f ca="1">IFERROR(__xludf.DUMMYFUNCTION("""COMPUTED_VALUE"""),"")</f>
        <v/>
      </c>
      <c r="P161" s="39" t="str">
        <f ca="1">IFERROR(__xludf.DUMMYFUNCTION("""COMPUTED_VALUE"""),"")</f>
        <v/>
      </c>
      <c r="Q161" s="39" t="str">
        <f ca="1">IFERROR(__xludf.DUMMYFUNCTION("""COMPUTED_VALUE"""),"")</f>
        <v/>
      </c>
      <c r="R161" s="39" t="str">
        <f ca="1">IFERROR(__xludf.DUMMYFUNCTION("""COMPUTED_VALUE"""),"")</f>
        <v/>
      </c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20.25" customHeight="1" x14ac:dyDescent="0.25">
      <c r="A162" s="5"/>
      <c r="B162" s="35"/>
      <c r="C162" s="36"/>
      <c r="D162" s="37"/>
      <c r="E162" s="36"/>
      <c r="F162" s="36"/>
      <c r="G162" s="38" t="str">
        <f ca="1">IFERROR(__xludf.DUMMYFUNCTION("""COMPUTED_VALUE"""),"")</f>
        <v/>
      </c>
      <c r="H162" s="38" t="str">
        <f ca="1">IFERROR(__xludf.DUMMYFUNCTION("""COMPUTED_VALUE"""),"")</f>
        <v/>
      </c>
      <c r="I162" s="38" t="str">
        <f ca="1">IFERROR(__xludf.DUMMYFUNCTION("""COMPUTED_VALUE"""),"")</f>
        <v/>
      </c>
      <c r="J162" s="39" t="str">
        <f ca="1">IFERROR(__xludf.DUMMYFUNCTION("""COMPUTED_VALUE"""),"")</f>
        <v/>
      </c>
      <c r="K162" s="39" t="str">
        <f ca="1">IFERROR(__xludf.DUMMYFUNCTION("""COMPUTED_VALUE"""),"")</f>
        <v/>
      </c>
      <c r="L162" s="39" t="str">
        <f ca="1">IFERROR(__xludf.DUMMYFUNCTION("""COMPUTED_VALUE"""),"")</f>
        <v/>
      </c>
      <c r="M162" s="39" t="str">
        <f ca="1">IFERROR(__xludf.DUMMYFUNCTION("""COMPUTED_VALUE"""),"")</f>
        <v/>
      </c>
      <c r="N162" s="39" t="str">
        <f ca="1">IFERROR(__xludf.DUMMYFUNCTION("""COMPUTED_VALUE"""),"")</f>
        <v/>
      </c>
      <c r="O162" s="39" t="str">
        <f ca="1">IFERROR(__xludf.DUMMYFUNCTION("""COMPUTED_VALUE"""),"")</f>
        <v/>
      </c>
      <c r="P162" s="39" t="str">
        <f ca="1">IFERROR(__xludf.DUMMYFUNCTION("""COMPUTED_VALUE"""),"")</f>
        <v/>
      </c>
      <c r="Q162" s="39" t="str">
        <f ca="1">IFERROR(__xludf.DUMMYFUNCTION("""COMPUTED_VALUE"""),"")</f>
        <v/>
      </c>
      <c r="R162" s="39" t="str">
        <f ca="1">IFERROR(__xludf.DUMMYFUNCTION("""COMPUTED_VALUE"""),"")</f>
        <v/>
      </c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20.25" customHeight="1" x14ac:dyDescent="0.25">
      <c r="A163" s="5"/>
      <c r="B163" s="35"/>
      <c r="C163" s="36"/>
      <c r="D163" s="37"/>
      <c r="E163" s="36"/>
      <c r="F163" s="36"/>
      <c r="G163" s="38" t="str">
        <f ca="1">IFERROR(__xludf.DUMMYFUNCTION("""COMPUTED_VALUE"""),"")</f>
        <v/>
      </c>
      <c r="H163" s="38" t="str">
        <f ca="1">IFERROR(__xludf.DUMMYFUNCTION("""COMPUTED_VALUE"""),"")</f>
        <v/>
      </c>
      <c r="I163" s="38" t="str">
        <f ca="1">IFERROR(__xludf.DUMMYFUNCTION("""COMPUTED_VALUE"""),"")</f>
        <v/>
      </c>
      <c r="J163" s="39" t="str">
        <f ca="1">IFERROR(__xludf.DUMMYFUNCTION("""COMPUTED_VALUE"""),"")</f>
        <v/>
      </c>
      <c r="K163" s="39" t="str">
        <f ca="1">IFERROR(__xludf.DUMMYFUNCTION("""COMPUTED_VALUE"""),"")</f>
        <v/>
      </c>
      <c r="L163" s="39" t="str">
        <f ca="1">IFERROR(__xludf.DUMMYFUNCTION("""COMPUTED_VALUE"""),"")</f>
        <v/>
      </c>
      <c r="M163" s="39" t="str">
        <f ca="1">IFERROR(__xludf.DUMMYFUNCTION("""COMPUTED_VALUE"""),"")</f>
        <v/>
      </c>
      <c r="N163" s="39" t="str">
        <f ca="1">IFERROR(__xludf.DUMMYFUNCTION("""COMPUTED_VALUE"""),"")</f>
        <v/>
      </c>
      <c r="O163" s="39" t="str">
        <f ca="1">IFERROR(__xludf.DUMMYFUNCTION("""COMPUTED_VALUE"""),"")</f>
        <v/>
      </c>
      <c r="P163" s="39" t="str">
        <f ca="1">IFERROR(__xludf.DUMMYFUNCTION("""COMPUTED_VALUE"""),"")</f>
        <v/>
      </c>
      <c r="Q163" s="39" t="str">
        <f ca="1">IFERROR(__xludf.DUMMYFUNCTION("""COMPUTED_VALUE"""),"")</f>
        <v/>
      </c>
      <c r="R163" s="39" t="str">
        <f ca="1">IFERROR(__xludf.DUMMYFUNCTION("""COMPUTED_VALUE"""),"")</f>
        <v/>
      </c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20.25" customHeight="1" x14ac:dyDescent="0.25">
      <c r="A164" s="5"/>
      <c r="B164" s="35"/>
      <c r="C164" s="36"/>
      <c r="D164" s="37"/>
      <c r="E164" s="36"/>
      <c r="F164" s="36"/>
      <c r="G164" s="38" t="str">
        <f ca="1">IFERROR(__xludf.DUMMYFUNCTION("""COMPUTED_VALUE"""),"")</f>
        <v/>
      </c>
      <c r="H164" s="38" t="str">
        <f ca="1">IFERROR(__xludf.DUMMYFUNCTION("""COMPUTED_VALUE"""),"")</f>
        <v/>
      </c>
      <c r="I164" s="38" t="str">
        <f ca="1">IFERROR(__xludf.DUMMYFUNCTION("""COMPUTED_VALUE"""),"")</f>
        <v/>
      </c>
      <c r="J164" s="39" t="str">
        <f ca="1">IFERROR(__xludf.DUMMYFUNCTION("""COMPUTED_VALUE"""),"")</f>
        <v/>
      </c>
      <c r="K164" s="39" t="str">
        <f ca="1">IFERROR(__xludf.DUMMYFUNCTION("""COMPUTED_VALUE"""),"")</f>
        <v/>
      </c>
      <c r="L164" s="39" t="str">
        <f ca="1">IFERROR(__xludf.DUMMYFUNCTION("""COMPUTED_VALUE"""),"")</f>
        <v/>
      </c>
      <c r="M164" s="39" t="str">
        <f ca="1">IFERROR(__xludf.DUMMYFUNCTION("""COMPUTED_VALUE"""),"")</f>
        <v/>
      </c>
      <c r="N164" s="39" t="str">
        <f ca="1">IFERROR(__xludf.DUMMYFUNCTION("""COMPUTED_VALUE"""),"")</f>
        <v/>
      </c>
      <c r="O164" s="39" t="str">
        <f ca="1">IFERROR(__xludf.DUMMYFUNCTION("""COMPUTED_VALUE"""),"")</f>
        <v/>
      </c>
      <c r="P164" s="39" t="str">
        <f ca="1">IFERROR(__xludf.DUMMYFUNCTION("""COMPUTED_VALUE"""),"")</f>
        <v/>
      </c>
      <c r="Q164" s="39" t="str">
        <f ca="1">IFERROR(__xludf.DUMMYFUNCTION("""COMPUTED_VALUE"""),"")</f>
        <v/>
      </c>
      <c r="R164" s="39" t="str">
        <f ca="1">IFERROR(__xludf.DUMMYFUNCTION("""COMPUTED_VALUE"""),"")</f>
        <v/>
      </c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20.25" customHeight="1" x14ac:dyDescent="0.25">
      <c r="A165" s="5"/>
      <c r="B165" s="35"/>
      <c r="C165" s="36"/>
      <c r="D165" s="37"/>
      <c r="E165" s="36"/>
      <c r="F165" s="36"/>
      <c r="G165" s="38" t="str">
        <f ca="1">IFERROR(__xludf.DUMMYFUNCTION("""COMPUTED_VALUE"""),"")</f>
        <v/>
      </c>
      <c r="H165" s="38" t="str">
        <f ca="1">IFERROR(__xludf.DUMMYFUNCTION("""COMPUTED_VALUE"""),"")</f>
        <v/>
      </c>
      <c r="I165" s="38" t="str">
        <f ca="1">IFERROR(__xludf.DUMMYFUNCTION("""COMPUTED_VALUE"""),"")</f>
        <v/>
      </c>
      <c r="J165" s="39" t="str">
        <f ca="1">IFERROR(__xludf.DUMMYFUNCTION("""COMPUTED_VALUE"""),"")</f>
        <v/>
      </c>
      <c r="K165" s="39" t="str">
        <f ca="1">IFERROR(__xludf.DUMMYFUNCTION("""COMPUTED_VALUE"""),"")</f>
        <v/>
      </c>
      <c r="L165" s="39" t="str">
        <f ca="1">IFERROR(__xludf.DUMMYFUNCTION("""COMPUTED_VALUE"""),"")</f>
        <v/>
      </c>
      <c r="M165" s="39" t="str">
        <f ca="1">IFERROR(__xludf.DUMMYFUNCTION("""COMPUTED_VALUE"""),"")</f>
        <v/>
      </c>
      <c r="N165" s="39" t="str">
        <f ca="1">IFERROR(__xludf.DUMMYFUNCTION("""COMPUTED_VALUE"""),"")</f>
        <v/>
      </c>
      <c r="O165" s="39" t="str">
        <f ca="1">IFERROR(__xludf.DUMMYFUNCTION("""COMPUTED_VALUE"""),"")</f>
        <v/>
      </c>
      <c r="P165" s="39" t="str">
        <f ca="1">IFERROR(__xludf.DUMMYFUNCTION("""COMPUTED_VALUE"""),"")</f>
        <v/>
      </c>
      <c r="Q165" s="39" t="str">
        <f ca="1">IFERROR(__xludf.DUMMYFUNCTION("""COMPUTED_VALUE"""),"")</f>
        <v/>
      </c>
      <c r="R165" s="39" t="str">
        <f ca="1">IFERROR(__xludf.DUMMYFUNCTION("""COMPUTED_VALUE"""),"")</f>
        <v/>
      </c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20.25" customHeight="1" x14ac:dyDescent="0.25">
      <c r="A166" s="5"/>
      <c r="B166" s="35"/>
      <c r="C166" s="36"/>
      <c r="D166" s="37"/>
      <c r="E166" s="36"/>
      <c r="F166" s="36"/>
      <c r="G166" s="38" t="str">
        <f ca="1">IFERROR(__xludf.DUMMYFUNCTION("""COMPUTED_VALUE"""),"")</f>
        <v/>
      </c>
      <c r="H166" s="38" t="str">
        <f ca="1">IFERROR(__xludf.DUMMYFUNCTION("""COMPUTED_VALUE"""),"")</f>
        <v/>
      </c>
      <c r="I166" s="38" t="str">
        <f ca="1">IFERROR(__xludf.DUMMYFUNCTION("""COMPUTED_VALUE"""),"")</f>
        <v/>
      </c>
      <c r="J166" s="39" t="str">
        <f ca="1">IFERROR(__xludf.DUMMYFUNCTION("""COMPUTED_VALUE"""),"")</f>
        <v/>
      </c>
      <c r="K166" s="39" t="str">
        <f ca="1">IFERROR(__xludf.DUMMYFUNCTION("""COMPUTED_VALUE"""),"")</f>
        <v/>
      </c>
      <c r="L166" s="39" t="str">
        <f ca="1">IFERROR(__xludf.DUMMYFUNCTION("""COMPUTED_VALUE"""),"")</f>
        <v/>
      </c>
      <c r="M166" s="39" t="str">
        <f ca="1">IFERROR(__xludf.DUMMYFUNCTION("""COMPUTED_VALUE"""),"")</f>
        <v/>
      </c>
      <c r="N166" s="39" t="str">
        <f ca="1">IFERROR(__xludf.DUMMYFUNCTION("""COMPUTED_VALUE"""),"")</f>
        <v/>
      </c>
      <c r="O166" s="39" t="str">
        <f ca="1">IFERROR(__xludf.DUMMYFUNCTION("""COMPUTED_VALUE"""),"")</f>
        <v/>
      </c>
      <c r="P166" s="39" t="str">
        <f ca="1">IFERROR(__xludf.DUMMYFUNCTION("""COMPUTED_VALUE"""),"")</f>
        <v/>
      </c>
      <c r="Q166" s="39" t="str">
        <f ca="1">IFERROR(__xludf.DUMMYFUNCTION("""COMPUTED_VALUE"""),"")</f>
        <v/>
      </c>
      <c r="R166" s="39" t="str">
        <f ca="1">IFERROR(__xludf.DUMMYFUNCTION("""COMPUTED_VALUE"""),"")</f>
        <v/>
      </c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20.25" customHeight="1" x14ac:dyDescent="0.25">
      <c r="A167" s="5"/>
      <c r="B167" s="35"/>
      <c r="C167" s="36"/>
      <c r="D167" s="37"/>
      <c r="E167" s="36"/>
      <c r="F167" s="36"/>
      <c r="G167" s="38" t="str">
        <f ca="1">IFERROR(__xludf.DUMMYFUNCTION("""COMPUTED_VALUE"""),"")</f>
        <v/>
      </c>
      <c r="H167" s="38" t="str">
        <f ca="1">IFERROR(__xludf.DUMMYFUNCTION("""COMPUTED_VALUE"""),"")</f>
        <v/>
      </c>
      <c r="I167" s="38" t="str">
        <f ca="1">IFERROR(__xludf.DUMMYFUNCTION("""COMPUTED_VALUE"""),"")</f>
        <v/>
      </c>
      <c r="J167" s="39" t="str">
        <f ca="1">IFERROR(__xludf.DUMMYFUNCTION("""COMPUTED_VALUE"""),"")</f>
        <v/>
      </c>
      <c r="K167" s="39" t="str">
        <f ca="1">IFERROR(__xludf.DUMMYFUNCTION("""COMPUTED_VALUE"""),"")</f>
        <v/>
      </c>
      <c r="L167" s="39" t="str">
        <f ca="1">IFERROR(__xludf.DUMMYFUNCTION("""COMPUTED_VALUE"""),"")</f>
        <v/>
      </c>
      <c r="M167" s="39" t="str">
        <f ca="1">IFERROR(__xludf.DUMMYFUNCTION("""COMPUTED_VALUE"""),"")</f>
        <v/>
      </c>
      <c r="N167" s="39" t="str">
        <f ca="1">IFERROR(__xludf.DUMMYFUNCTION("""COMPUTED_VALUE"""),"")</f>
        <v/>
      </c>
      <c r="O167" s="39" t="str">
        <f ca="1">IFERROR(__xludf.DUMMYFUNCTION("""COMPUTED_VALUE"""),"")</f>
        <v/>
      </c>
      <c r="P167" s="39" t="str">
        <f ca="1">IFERROR(__xludf.DUMMYFUNCTION("""COMPUTED_VALUE"""),"")</f>
        <v/>
      </c>
      <c r="Q167" s="39" t="str">
        <f ca="1">IFERROR(__xludf.DUMMYFUNCTION("""COMPUTED_VALUE"""),"")</f>
        <v/>
      </c>
      <c r="R167" s="39" t="str">
        <f ca="1">IFERROR(__xludf.DUMMYFUNCTION("""COMPUTED_VALUE"""),"")</f>
        <v/>
      </c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20.25" customHeight="1" x14ac:dyDescent="0.25">
      <c r="A168" s="5"/>
      <c r="B168" s="35"/>
      <c r="C168" s="36"/>
      <c r="D168" s="37"/>
      <c r="E168" s="36"/>
      <c r="F168" s="36"/>
      <c r="G168" s="38" t="str">
        <f ca="1">IFERROR(__xludf.DUMMYFUNCTION("""COMPUTED_VALUE"""),"")</f>
        <v/>
      </c>
      <c r="H168" s="38" t="str">
        <f ca="1">IFERROR(__xludf.DUMMYFUNCTION("""COMPUTED_VALUE"""),"")</f>
        <v/>
      </c>
      <c r="I168" s="38" t="str">
        <f ca="1">IFERROR(__xludf.DUMMYFUNCTION("""COMPUTED_VALUE"""),"")</f>
        <v/>
      </c>
      <c r="J168" s="39" t="str">
        <f ca="1">IFERROR(__xludf.DUMMYFUNCTION("""COMPUTED_VALUE"""),"")</f>
        <v/>
      </c>
      <c r="K168" s="39" t="str">
        <f ca="1">IFERROR(__xludf.DUMMYFUNCTION("""COMPUTED_VALUE"""),"")</f>
        <v/>
      </c>
      <c r="L168" s="39" t="str">
        <f ca="1">IFERROR(__xludf.DUMMYFUNCTION("""COMPUTED_VALUE"""),"")</f>
        <v/>
      </c>
      <c r="M168" s="39" t="str">
        <f ca="1">IFERROR(__xludf.DUMMYFUNCTION("""COMPUTED_VALUE"""),"")</f>
        <v/>
      </c>
      <c r="N168" s="39" t="str">
        <f ca="1">IFERROR(__xludf.DUMMYFUNCTION("""COMPUTED_VALUE"""),"")</f>
        <v/>
      </c>
      <c r="O168" s="39" t="str">
        <f ca="1">IFERROR(__xludf.DUMMYFUNCTION("""COMPUTED_VALUE"""),"")</f>
        <v/>
      </c>
      <c r="P168" s="39" t="str">
        <f ca="1">IFERROR(__xludf.DUMMYFUNCTION("""COMPUTED_VALUE"""),"")</f>
        <v/>
      </c>
      <c r="Q168" s="39" t="str">
        <f ca="1">IFERROR(__xludf.DUMMYFUNCTION("""COMPUTED_VALUE"""),"")</f>
        <v/>
      </c>
      <c r="R168" s="39" t="str">
        <f ca="1">IFERROR(__xludf.DUMMYFUNCTION("""COMPUTED_VALUE"""),"")</f>
        <v/>
      </c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20.25" customHeight="1" x14ac:dyDescent="0.25">
      <c r="A169" s="5"/>
      <c r="B169" s="35"/>
      <c r="C169" s="36"/>
      <c r="D169" s="37"/>
      <c r="E169" s="36"/>
      <c r="F169" s="36"/>
      <c r="G169" s="38" t="str">
        <f ca="1">IFERROR(__xludf.DUMMYFUNCTION("""COMPUTED_VALUE"""),"")</f>
        <v/>
      </c>
      <c r="H169" s="38" t="str">
        <f ca="1">IFERROR(__xludf.DUMMYFUNCTION("""COMPUTED_VALUE"""),"")</f>
        <v/>
      </c>
      <c r="I169" s="38" t="str">
        <f ca="1">IFERROR(__xludf.DUMMYFUNCTION("""COMPUTED_VALUE"""),"")</f>
        <v/>
      </c>
      <c r="J169" s="39" t="str">
        <f ca="1">IFERROR(__xludf.DUMMYFUNCTION("""COMPUTED_VALUE"""),"")</f>
        <v/>
      </c>
      <c r="K169" s="39" t="str">
        <f ca="1">IFERROR(__xludf.DUMMYFUNCTION("""COMPUTED_VALUE"""),"")</f>
        <v/>
      </c>
      <c r="L169" s="39" t="str">
        <f ca="1">IFERROR(__xludf.DUMMYFUNCTION("""COMPUTED_VALUE"""),"")</f>
        <v/>
      </c>
      <c r="M169" s="39" t="str">
        <f ca="1">IFERROR(__xludf.DUMMYFUNCTION("""COMPUTED_VALUE"""),"")</f>
        <v/>
      </c>
      <c r="N169" s="39" t="str">
        <f ca="1">IFERROR(__xludf.DUMMYFUNCTION("""COMPUTED_VALUE"""),"")</f>
        <v/>
      </c>
      <c r="O169" s="39" t="str">
        <f ca="1">IFERROR(__xludf.DUMMYFUNCTION("""COMPUTED_VALUE"""),"")</f>
        <v/>
      </c>
      <c r="P169" s="39" t="str">
        <f ca="1">IFERROR(__xludf.DUMMYFUNCTION("""COMPUTED_VALUE"""),"")</f>
        <v/>
      </c>
      <c r="Q169" s="39" t="str">
        <f ca="1">IFERROR(__xludf.DUMMYFUNCTION("""COMPUTED_VALUE"""),"")</f>
        <v/>
      </c>
      <c r="R169" s="39" t="str">
        <f ca="1">IFERROR(__xludf.DUMMYFUNCTION("""COMPUTED_VALUE"""),"")</f>
        <v/>
      </c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20.25" customHeight="1" x14ac:dyDescent="0.25">
      <c r="A170" s="5"/>
      <c r="B170" s="35"/>
      <c r="C170" s="36"/>
      <c r="D170" s="37"/>
      <c r="E170" s="36"/>
      <c r="F170" s="36"/>
      <c r="G170" s="38" t="str">
        <f ca="1">IFERROR(__xludf.DUMMYFUNCTION("""COMPUTED_VALUE"""),"")</f>
        <v/>
      </c>
      <c r="H170" s="38" t="str">
        <f ca="1">IFERROR(__xludf.DUMMYFUNCTION("""COMPUTED_VALUE"""),"")</f>
        <v/>
      </c>
      <c r="I170" s="38" t="str">
        <f ca="1">IFERROR(__xludf.DUMMYFUNCTION("""COMPUTED_VALUE"""),"")</f>
        <v/>
      </c>
      <c r="J170" s="39" t="str">
        <f ca="1">IFERROR(__xludf.DUMMYFUNCTION("""COMPUTED_VALUE"""),"")</f>
        <v/>
      </c>
      <c r="K170" s="39" t="str">
        <f ca="1">IFERROR(__xludf.DUMMYFUNCTION("""COMPUTED_VALUE"""),"")</f>
        <v/>
      </c>
      <c r="L170" s="39" t="str">
        <f ca="1">IFERROR(__xludf.DUMMYFUNCTION("""COMPUTED_VALUE"""),"")</f>
        <v/>
      </c>
      <c r="M170" s="39" t="str">
        <f ca="1">IFERROR(__xludf.DUMMYFUNCTION("""COMPUTED_VALUE"""),"")</f>
        <v/>
      </c>
      <c r="N170" s="39" t="str">
        <f ca="1">IFERROR(__xludf.DUMMYFUNCTION("""COMPUTED_VALUE"""),"")</f>
        <v/>
      </c>
      <c r="O170" s="39" t="str">
        <f ca="1">IFERROR(__xludf.DUMMYFUNCTION("""COMPUTED_VALUE"""),"")</f>
        <v/>
      </c>
      <c r="P170" s="39" t="str">
        <f ca="1">IFERROR(__xludf.DUMMYFUNCTION("""COMPUTED_VALUE"""),"")</f>
        <v/>
      </c>
      <c r="Q170" s="39" t="str">
        <f ca="1">IFERROR(__xludf.DUMMYFUNCTION("""COMPUTED_VALUE"""),"")</f>
        <v/>
      </c>
      <c r="R170" s="39" t="str">
        <f ca="1">IFERROR(__xludf.DUMMYFUNCTION("""COMPUTED_VALUE"""),"")</f>
        <v/>
      </c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20.25" customHeight="1" x14ac:dyDescent="0.25">
      <c r="A171" s="5"/>
      <c r="B171" s="35"/>
      <c r="C171" s="36"/>
      <c r="D171" s="37"/>
      <c r="E171" s="36"/>
      <c r="F171" s="36"/>
      <c r="G171" s="38" t="str">
        <f ca="1">IFERROR(__xludf.DUMMYFUNCTION("""COMPUTED_VALUE"""),"")</f>
        <v/>
      </c>
      <c r="H171" s="38" t="str">
        <f ca="1">IFERROR(__xludf.DUMMYFUNCTION("""COMPUTED_VALUE"""),"")</f>
        <v/>
      </c>
      <c r="I171" s="38" t="str">
        <f ca="1">IFERROR(__xludf.DUMMYFUNCTION("""COMPUTED_VALUE"""),"")</f>
        <v/>
      </c>
      <c r="J171" s="39" t="str">
        <f ca="1">IFERROR(__xludf.DUMMYFUNCTION("""COMPUTED_VALUE"""),"")</f>
        <v/>
      </c>
      <c r="K171" s="39" t="str">
        <f ca="1">IFERROR(__xludf.DUMMYFUNCTION("""COMPUTED_VALUE"""),"")</f>
        <v/>
      </c>
      <c r="L171" s="39" t="str">
        <f ca="1">IFERROR(__xludf.DUMMYFUNCTION("""COMPUTED_VALUE"""),"")</f>
        <v/>
      </c>
      <c r="M171" s="39" t="str">
        <f ca="1">IFERROR(__xludf.DUMMYFUNCTION("""COMPUTED_VALUE"""),"")</f>
        <v/>
      </c>
      <c r="N171" s="39" t="str">
        <f ca="1">IFERROR(__xludf.DUMMYFUNCTION("""COMPUTED_VALUE"""),"")</f>
        <v/>
      </c>
      <c r="O171" s="39" t="str">
        <f ca="1">IFERROR(__xludf.DUMMYFUNCTION("""COMPUTED_VALUE"""),"")</f>
        <v/>
      </c>
      <c r="P171" s="39" t="str">
        <f ca="1">IFERROR(__xludf.DUMMYFUNCTION("""COMPUTED_VALUE"""),"")</f>
        <v/>
      </c>
      <c r="Q171" s="39" t="str">
        <f ca="1">IFERROR(__xludf.DUMMYFUNCTION("""COMPUTED_VALUE"""),"")</f>
        <v/>
      </c>
      <c r="R171" s="39" t="str">
        <f ca="1">IFERROR(__xludf.DUMMYFUNCTION("""COMPUTED_VALUE"""),"")</f>
        <v/>
      </c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20.25" customHeight="1" x14ac:dyDescent="0.25">
      <c r="A172" s="5"/>
      <c r="B172" s="35"/>
      <c r="C172" s="36"/>
      <c r="D172" s="37"/>
      <c r="E172" s="36"/>
      <c r="F172" s="36"/>
      <c r="G172" s="38" t="str">
        <f ca="1">IFERROR(__xludf.DUMMYFUNCTION("""COMPUTED_VALUE"""),"")</f>
        <v/>
      </c>
      <c r="H172" s="38" t="str">
        <f ca="1">IFERROR(__xludf.DUMMYFUNCTION("""COMPUTED_VALUE"""),"")</f>
        <v/>
      </c>
      <c r="I172" s="38" t="str">
        <f ca="1">IFERROR(__xludf.DUMMYFUNCTION("""COMPUTED_VALUE"""),"")</f>
        <v/>
      </c>
      <c r="J172" s="39" t="str">
        <f ca="1">IFERROR(__xludf.DUMMYFUNCTION("""COMPUTED_VALUE"""),"")</f>
        <v/>
      </c>
      <c r="K172" s="39" t="str">
        <f ca="1">IFERROR(__xludf.DUMMYFUNCTION("""COMPUTED_VALUE"""),"")</f>
        <v/>
      </c>
      <c r="L172" s="39" t="str">
        <f ca="1">IFERROR(__xludf.DUMMYFUNCTION("""COMPUTED_VALUE"""),"")</f>
        <v/>
      </c>
      <c r="M172" s="39" t="str">
        <f ca="1">IFERROR(__xludf.DUMMYFUNCTION("""COMPUTED_VALUE"""),"")</f>
        <v/>
      </c>
      <c r="N172" s="39" t="str">
        <f ca="1">IFERROR(__xludf.DUMMYFUNCTION("""COMPUTED_VALUE"""),"")</f>
        <v/>
      </c>
      <c r="O172" s="39" t="str">
        <f ca="1">IFERROR(__xludf.DUMMYFUNCTION("""COMPUTED_VALUE"""),"")</f>
        <v/>
      </c>
      <c r="P172" s="39" t="str">
        <f ca="1">IFERROR(__xludf.DUMMYFUNCTION("""COMPUTED_VALUE"""),"")</f>
        <v/>
      </c>
      <c r="Q172" s="39" t="str">
        <f ca="1">IFERROR(__xludf.DUMMYFUNCTION("""COMPUTED_VALUE"""),"")</f>
        <v/>
      </c>
      <c r="R172" s="39" t="str">
        <f ca="1">IFERROR(__xludf.DUMMYFUNCTION("""COMPUTED_VALUE"""),"")</f>
        <v/>
      </c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20.25" customHeight="1" x14ac:dyDescent="0.25">
      <c r="A173" s="5"/>
      <c r="B173" s="35"/>
      <c r="C173" s="36"/>
      <c r="D173" s="37"/>
      <c r="E173" s="36"/>
      <c r="F173" s="36"/>
      <c r="G173" s="38" t="str">
        <f ca="1">IFERROR(__xludf.DUMMYFUNCTION("""COMPUTED_VALUE"""),"")</f>
        <v/>
      </c>
      <c r="H173" s="38" t="str">
        <f ca="1">IFERROR(__xludf.DUMMYFUNCTION("""COMPUTED_VALUE"""),"")</f>
        <v/>
      </c>
      <c r="I173" s="38" t="str">
        <f ca="1">IFERROR(__xludf.DUMMYFUNCTION("""COMPUTED_VALUE"""),"")</f>
        <v/>
      </c>
      <c r="J173" s="39" t="str">
        <f ca="1">IFERROR(__xludf.DUMMYFUNCTION("""COMPUTED_VALUE"""),"")</f>
        <v/>
      </c>
      <c r="K173" s="39" t="str">
        <f ca="1">IFERROR(__xludf.DUMMYFUNCTION("""COMPUTED_VALUE"""),"")</f>
        <v/>
      </c>
      <c r="L173" s="39" t="str">
        <f ca="1">IFERROR(__xludf.DUMMYFUNCTION("""COMPUTED_VALUE"""),"")</f>
        <v/>
      </c>
      <c r="M173" s="39" t="str">
        <f ca="1">IFERROR(__xludf.DUMMYFUNCTION("""COMPUTED_VALUE"""),"")</f>
        <v/>
      </c>
      <c r="N173" s="39" t="str">
        <f ca="1">IFERROR(__xludf.DUMMYFUNCTION("""COMPUTED_VALUE"""),"")</f>
        <v/>
      </c>
      <c r="O173" s="39" t="str">
        <f ca="1">IFERROR(__xludf.DUMMYFUNCTION("""COMPUTED_VALUE"""),"")</f>
        <v/>
      </c>
      <c r="P173" s="39" t="str">
        <f ca="1">IFERROR(__xludf.DUMMYFUNCTION("""COMPUTED_VALUE"""),"")</f>
        <v/>
      </c>
      <c r="Q173" s="39" t="str">
        <f ca="1">IFERROR(__xludf.DUMMYFUNCTION("""COMPUTED_VALUE"""),"")</f>
        <v/>
      </c>
      <c r="R173" s="39" t="str">
        <f ca="1">IFERROR(__xludf.DUMMYFUNCTION("""COMPUTED_VALUE"""),"")</f>
        <v/>
      </c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20.25" customHeight="1" x14ac:dyDescent="0.25">
      <c r="A174" s="5"/>
      <c r="B174" s="35"/>
      <c r="C174" s="36"/>
      <c r="D174" s="37"/>
      <c r="E174" s="36"/>
      <c r="F174" s="36"/>
      <c r="G174" s="38" t="str">
        <f ca="1">IFERROR(__xludf.DUMMYFUNCTION("""COMPUTED_VALUE"""),"")</f>
        <v/>
      </c>
      <c r="H174" s="38" t="str">
        <f ca="1">IFERROR(__xludf.DUMMYFUNCTION("""COMPUTED_VALUE"""),"")</f>
        <v/>
      </c>
      <c r="I174" s="38" t="str">
        <f ca="1">IFERROR(__xludf.DUMMYFUNCTION("""COMPUTED_VALUE"""),"")</f>
        <v/>
      </c>
      <c r="J174" s="39" t="str">
        <f ca="1">IFERROR(__xludf.DUMMYFUNCTION("""COMPUTED_VALUE"""),"")</f>
        <v/>
      </c>
      <c r="K174" s="39" t="str">
        <f ca="1">IFERROR(__xludf.DUMMYFUNCTION("""COMPUTED_VALUE"""),"")</f>
        <v/>
      </c>
      <c r="L174" s="39" t="str">
        <f ca="1">IFERROR(__xludf.DUMMYFUNCTION("""COMPUTED_VALUE"""),"")</f>
        <v/>
      </c>
      <c r="M174" s="39" t="str">
        <f ca="1">IFERROR(__xludf.DUMMYFUNCTION("""COMPUTED_VALUE"""),"")</f>
        <v/>
      </c>
      <c r="N174" s="39" t="str">
        <f ca="1">IFERROR(__xludf.DUMMYFUNCTION("""COMPUTED_VALUE"""),"")</f>
        <v/>
      </c>
      <c r="O174" s="39" t="str">
        <f ca="1">IFERROR(__xludf.DUMMYFUNCTION("""COMPUTED_VALUE"""),"")</f>
        <v/>
      </c>
      <c r="P174" s="39" t="str">
        <f ca="1">IFERROR(__xludf.DUMMYFUNCTION("""COMPUTED_VALUE"""),"")</f>
        <v/>
      </c>
      <c r="Q174" s="39" t="str">
        <f ca="1">IFERROR(__xludf.DUMMYFUNCTION("""COMPUTED_VALUE"""),"")</f>
        <v/>
      </c>
      <c r="R174" s="39" t="str">
        <f ca="1">IFERROR(__xludf.DUMMYFUNCTION("""COMPUTED_VALUE"""),"")</f>
        <v/>
      </c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20.25" customHeight="1" x14ac:dyDescent="0.25">
      <c r="A175" s="5"/>
      <c r="B175" s="35"/>
      <c r="C175" s="36"/>
      <c r="D175" s="37"/>
      <c r="E175" s="36"/>
      <c r="F175" s="36"/>
      <c r="G175" s="38" t="str">
        <f ca="1">IFERROR(__xludf.DUMMYFUNCTION("""COMPUTED_VALUE"""),"")</f>
        <v/>
      </c>
      <c r="H175" s="38" t="str">
        <f ca="1">IFERROR(__xludf.DUMMYFUNCTION("""COMPUTED_VALUE"""),"")</f>
        <v/>
      </c>
      <c r="I175" s="38" t="str">
        <f ca="1">IFERROR(__xludf.DUMMYFUNCTION("""COMPUTED_VALUE"""),"")</f>
        <v/>
      </c>
      <c r="J175" s="39" t="str">
        <f ca="1">IFERROR(__xludf.DUMMYFUNCTION("""COMPUTED_VALUE"""),"")</f>
        <v/>
      </c>
      <c r="K175" s="39" t="str">
        <f ca="1">IFERROR(__xludf.DUMMYFUNCTION("""COMPUTED_VALUE"""),"")</f>
        <v/>
      </c>
      <c r="L175" s="39" t="str">
        <f ca="1">IFERROR(__xludf.DUMMYFUNCTION("""COMPUTED_VALUE"""),"")</f>
        <v/>
      </c>
      <c r="M175" s="39" t="str">
        <f ca="1">IFERROR(__xludf.DUMMYFUNCTION("""COMPUTED_VALUE"""),"")</f>
        <v/>
      </c>
      <c r="N175" s="39" t="str">
        <f ca="1">IFERROR(__xludf.DUMMYFUNCTION("""COMPUTED_VALUE"""),"")</f>
        <v/>
      </c>
      <c r="O175" s="39" t="str">
        <f ca="1">IFERROR(__xludf.DUMMYFUNCTION("""COMPUTED_VALUE"""),"")</f>
        <v/>
      </c>
      <c r="P175" s="39" t="str">
        <f ca="1">IFERROR(__xludf.DUMMYFUNCTION("""COMPUTED_VALUE"""),"")</f>
        <v/>
      </c>
      <c r="Q175" s="39" t="str">
        <f ca="1">IFERROR(__xludf.DUMMYFUNCTION("""COMPUTED_VALUE"""),"")</f>
        <v/>
      </c>
      <c r="R175" s="39" t="str">
        <f ca="1">IFERROR(__xludf.DUMMYFUNCTION("""COMPUTED_VALUE"""),"")</f>
        <v/>
      </c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20.25" customHeight="1" x14ac:dyDescent="0.25">
      <c r="A176" s="5"/>
      <c r="B176" s="35"/>
      <c r="C176" s="36"/>
      <c r="D176" s="37"/>
      <c r="E176" s="36"/>
      <c r="F176" s="36"/>
      <c r="G176" s="38" t="str">
        <f ca="1">IFERROR(__xludf.DUMMYFUNCTION("""COMPUTED_VALUE"""),"")</f>
        <v/>
      </c>
      <c r="H176" s="38" t="str">
        <f ca="1">IFERROR(__xludf.DUMMYFUNCTION("""COMPUTED_VALUE"""),"")</f>
        <v/>
      </c>
      <c r="I176" s="38" t="str">
        <f ca="1">IFERROR(__xludf.DUMMYFUNCTION("""COMPUTED_VALUE"""),"")</f>
        <v/>
      </c>
      <c r="J176" s="39" t="str">
        <f ca="1">IFERROR(__xludf.DUMMYFUNCTION("""COMPUTED_VALUE"""),"")</f>
        <v/>
      </c>
      <c r="K176" s="39" t="str">
        <f ca="1">IFERROR(__xludf.DUMMYFUNCTION("""COMPUTED_VALUE"""),"")</f>
        <v/>
      </c>
      <c r="L176" s="39" t="str">
        <f ca="1">IFERROR(__xludf.DUMMYFUNCTION("""COMPUTED_VALUE"""),"")</f>
        <v/>
      </c>
      <c r="M176" s="39" t="str">
        <f ca="1">IFERROR(__xludf.DUMMYFUNCTION("""COMPUTED_VALUE"""),"")</f>
        <v/>
      </c>
      <c r="N176" s="39" t="str">
        <f ca="1">IFERROR(__xludf.DUMMYFUNCTION("""COMPUTED_VALUE"""),"")</f>
        <v/>
      </c>
      <c r="O176" s="39" t="str">
        <f ca="1">IFERROR(__xludf.DUMMYFUNCTION("""COMPUTED_VALUE"""),"")</f>
        <v/>
      </c>
      <c r="P176" s="39" t="str">
        <f ca="1">IFERROR(__xludf.DUMMYFUNCTION("""COMPUTED_VALUE"""),"")</f>
        <v/>
      </c>
      <c r="Q176" s="39" t="str">
        <f ca="1">IFERROR(__xludf.DUMMYFUNCTION("""COMPUTED_VALUE"""),"")</f>
        <v/>
      </c>
      <c r="R176" s="39" t="str">
        <f ca="1">IFERROR(__xludf.DUMMYFUNCTION("""COMPUTED_VALUE"""),"")</f>
        <v/>
      </c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20.25" customHeight="1" x14ac:dyDescent="0.25">
      <c r="A177" s="5"/>
      <c r="B177" s="35"/>
      <c r="C177" s="36"/>
      <c r="D177" s="37"/>
      <c r="E177" s="36"/>
      <c r="F177" s="36"/>
      <c r="G177" s="38" t="str">
        <f ca="1">IFERROR(__xludf.DUMMYFUNCTION("""COMPUTED_VALUE"""),"")</f>
        <v/>
      </c>
      <c r="H177" s="38" t="str">
        <f ca="1">IFERROR(__xludf.DUMMYFUNCTION("""COMPUTED_VALUE"""),"")</f>
        <v/>
      </c>
      <c r="I177" s="38" t="str">
        <f ca="1">IFERROR(__xludf.DUMMYFUNCTION("""COMPUTED_VALUE"""),"")</f>
        <v/>
      </c>
      <c r="J177" s="39" t="str">
        <f ca="1">IFERROR(__xludf.DUMMYFUNCTION("""COMPUTED_VALUE"""),"")</f>
        <v/>
      </c>
      <c r="K177" s="39" t="str">
        <f ca="1">IFERROR(__xludf.DUMMYFUNCTION("""COMPUTED_VALUE"""),"")</f>
        <v/>
      </c>
      <c r="L177" s="39" t="str">
        <f ca="1">IFERROR(__xludf.DUMMYFUNCTION("""COMPUTED_VALUE"""),"")</f>
        <v/>
      </c>
      <c r="M177" s="39" t="str">
        <f ca="1">IFERROR(__xludf.DUMMYFUNCTION("""COMPUTED_VALUE"""),"")</f>
        <v/>
      </c>
      <c r="N177" s="39" t="str">
        <f ca="1">IFERROR(__xludf.DUMMYFUNCTION("""COMPUTED_VALUE"""),"")</f>
        <v/>
      </c>
      <c r="O177" s="39" t="str">
        <f ca="1">IFERROR(__xludf.DUMMYFUNCTION("""COMPUTED_VALUE"""),"")</f>
        <v/>
      </c>
      <c r="P177" s="39" t="str">
        <f ca="1">IFERROR(__xludf.DUMMYFUNCTION("""COMPUTED_VALUE"""),"")</f>
        <v/>
      </c>
      <c r="Q177" s="39" t="str">
        <f ca="1">IFERROR(__xludf.DUMMYFUNCTION("""COMPUTED_VALUE"""),"")</f>
        <v/>
      </c>
      <c r="R177" s="39" t="str">
        <f ca="1">IFERROR(__xludf.DUMMYFUNCTION("""COMPUTED_VALUE"""),"")</f>
        <v/>
      </c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20.25" customHeight="1" x14ac:dyDescent="0.25">
      <c r="A178" s="5"/>
      <c r="B178" s="35"/>
      <c r="C178" s="36"/>
      <c r="D178" s="37"/>
      <c r="E178" s="36"/>
      <c r="F178" s="36"/>
      <c r="G178" s="38" t="str">
        <f ca="1">IFERROR(__xludf.DUMMYFUNCTION("""COMPUTED_VALUE"""),"")</f>
        <v/>
      </c>
      <c r="H178" s="38" t="str">
        <f ca="1">IFERROR(__xludf.DUMMYFUNCTION("""COMPUTED_VALUE"""),"")</f>
        <v/>
      </c>
      <c r="I178" s="38" t="str">
        <f ca="1">IFERROR(__xludf.DUMMYFUNCTION("""COMPUTED_VALUE"""),"")</f>
        <v/>
      </c>
      <c r="J178" s="39" t="str">
        <f ca="1">IFERROR(__xludf.DUMMYFUNCTION("""COMPUTED_VALUE"""),"")</f>
        <v/>
      </c>
      <c r="K178" s="39" t="str">
        <f ca="1">IFERROR(__xludf.DUMMYFUNCTION("""COMPUTED_VALUE"""),"")</f>
        <v/>
      </c>
      <c r="L178" s="39" t="str">
        <f ca="1">IFERROR(__xludf.DUMMYFUNCTION("""COMPUTED_VALUE"""),"")</f>
        <v/>
      </c>
      <c r="M178" s="39" t="str">
        <f ca="1">IFERROR(__xludf.DUMMYFUNCTION("""COMPUTED_VALUE"""),"")</f>
        <v/>
      </c>
      <c r="N178" s="39" t="str">
        <f ca="1">IFERROR(__xludf.DUMMYFUNCTION("""COMPUTED_VALUE"""),"")</f>
        <v/>
      </c>
      <c r="O178" s="39" t="str">
        <f ca="1">IFERROR(__xludf.DUMMYFUNCTION("""COMPUTED_VALUE"""),"")</f>
        <v/>
      </c>
      <c r="P178" s="39" t="str">
        <f ca="1">IFERROR(__xludf.DUMMYFUNCTION("""COMPUTED_VALUE"""),"")</f>
        <v/>
      </c>
      <c r="Q178" s="39" t="str">
        <f ca="1">IFERROR(__xludf.DUMMYFUNCTION("""COMPUTED_VALUE"""),"")</f>
        <v/>
      </c>
      <c r="R178" s="39" t="str">
        <f ca="1">IFERROR(__xludf.DUMMYFUNCTION("""COMPUTED_VALUE"""),"")</f>
        <v/>
      </c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20.25" customHeight="1" x14ac:dyDescent="0.25">
      <c r="A179" s="5"/>
      <c r="B179" s="35"/>
      <c r="C179" s="36"/>
      <c r="D179" s="37"/>
      <c r="E179" s="36"/>
      <c r="F179" s="36"/>
      <c r="G179" s="38" t="str">
        <f ca="1">IFERROR(__xludf.DUMMYFUNCTION("""COMPUTED_VALUE"""),"")</f>
        <v/>
      </c>
      <c r="H179" s="38" t="str">
        <f ca="1">IFERROR(__xludf.DUMMYFUNCTION("""COMPUTED_VALUE"""),"")</f>
        <v/>
      </c>
      <c r="I179" s="38" t="str">
        <f ca="1">IFERROR(__xludf.DUMMYFUNCTION("""COMPUTED_VALUE"""),"")</f>
        <v/>
      </c>
      <c r="J179" s="39" t="str">
        <f ca="1">IFERROR(__xludf.DUMMYFUNCTION("""COMPUTED_VALUE"""),"")</f>
        <v/>
      </c>
      <c r="K179" s="39" t="str">
        <f ca="1">IFERROR(__xludf.DUMMYFUNCTION("""COMPUTED_VALUE"""),"")</f>
        <v/>
      </c>
      <c r="L179" s="39" t="str">
        <f ca="1">IFERROR(__xludf.DUMMYFUNCTION("""COMPUTED_VALUE"""),"")</f>
        <v/>
      </c>
      <c r="M179" s="39" t="str">
        <f ca="1">IFERROR(__xludf.DUMMYFUNCTION("""COMPUTED_VALUE"""),"")</f>
        <v/>
      </c>
      <c r="N179" s="39" t="str">
        <f ca="1">IFERROR(__xludf.DUMMYFUNCTION("""COMPUTED_VALUE"""),"")</f>
        <v/>
      </c>
      <c r="O179" s="39" t="str">
        <f ca="1">IFERROR(__xludf.DUMMYFUNCTION("""COMPUTED_VALUE"""),"")</f>
        <v/>
      </c>
      <c r="P179" s="39" t="str">
        <f ca="1">IFERROR(__xludf.DUMMYFUNCTION("""COMPUTED_VALUE"""),"")</f>
        <v/>
      </c>
      <c r="Q179" s="39" t="str">
        <f ca="1">IFERROR(__xludf.DUMMYFUNCTION("""COMPUTED_VALUE"""),"")</f>
        <v/>
      </c>
      <c r="R179" s="39" t="str">
        <f ca="1">IFERROR(__xludf.DUMMYFUNCTION("""COMPUTED_VALUE"""),"")</f>
        <v/>
      </c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20.25" customHeight="1" x14ac:dyDescent="0.25">
      <c r="A180" s="5"/>
      <c r="B180" s="35"/>
      <c r="C180" s="36"/>
      <c r="D180" s="37"/>
      <c r="E180" s="36"/>
      <c r="F180" s="36"/>
      <c r="G180" s="38" t="str">
        <f ca="1">IFERROR(__xludf.DUMMYFUNCTION("""COMPUTED_VALUE"""),"")</f>
        <v/>
      </c>
      <c r="H180" s="38" t="str">
        <f ca="1">IFERROR(__xludf.DUMMYFUNCTION("""COMPUTED_VALUE"""),"")</f>
        <v/>
      </c>
      <c r="I180" s="38" t="str">
        <f ca="1">IFERROR(__xludf.DUMMYFUNCTION("""COMPUTED_VALUE"""),"")</f>
        <v/>
      </c>
      <c r="J180" s="39" t="str">
        <f ca="1">IFERROR(__xludf.DUMMYFUNCTION("""COMPUTED_VALUE"""),"")</f>
        <v/>
      </c>
      <c r="K180" s="39" t="str">
        <f ca="1">IFERROR(__xludf.DUMMYFUNCTION("""COMPUTED_VALUE"""),"")</f>
        <v/>
      </c>
      <c r="L180" s="39" t="str">
        <f ca="1">IFERROR(__xludf.DUMMYFUNCTION("""COMPUTED_VALUE"""),"")</f>
        <v/>
      </c>
      <c r="M180" s="39" t="str">
        <f ca="1">IFERROR(__xludf.DUMMYFUNCTION("""COMPUTED_VALUE"""),"")</f>
        <v/>
      </c>
      <c r="N180" s="39" t="str">
        <f ca="1">IFERROR(__xludf.DUMMYFUNCTION("""COMPUTED_VALUE"""),"")</f>
        <v/>
      </c>
      <c r="O180" s="39" t="str">
        <f ca="1">IFERROR(__xludf.DUMMYFUNCTION("""COMPUTED_VALUE"""),"")</f>
        <v/>
      </c>
      <c r="P180" s="39" t="str">
        <f ca="1">IFERROR(__xludf.DUMMYFUNCTION("""COMPUTED_VALUE"""),"")</f>
        <v/>
      </c>
      <c r="Q180" s="39" t="str">
        <f ca="1">IFERROR(__xludf.DUMMYFUNCTION("""COMPUTED_VALUE"""),"")</f>
        <v/>
      </c>
      <c r="R180" s="39" t="str">
        <f ca="1">IFERROR(__xludf.DUMMYFUNCTION("""COMPUTED_VALUE"""),"")</f>
        <v/>
      </c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20.25" customHeight="1" x14ac:dyDescent="0.25">
      <c r="A181" s="5"/>
      <c r="B181" s="35"/>
      <c r="C181" s="36"/>
      <c r="D181" s="37"/>
      <c r="E181" s="36"/>
      <c r="F181" s="36"/>
      <c r="G181" s="38" t="str">
        <f ca="1">IFERROR(__xludf.DUMMYFUNCTION("""COMPUTED_VALUE"""),"")</f>
        <v/>
      </c>
      <c r="H181" s="38" t="str">
        <f ca="1">IFERROR(__xludf.DUMMYFUNCTION("""COMPUTED_VALUE"""),"")</f>
        <v/>
      </c>
      <c r="I181" s="38" t="str">
        <f ca="1">IFERROR(__xludf.DUMMYFUNCTION("""COMPUTED_VALUE"""),"")</f>
        <v/>
      </c>
      <c r="J181" s="39" t="str">
        <f ca="1">IFERROR(__xludf.DUMMYFUNCTION("""COMPUTED_VALUE"""),"")</f>
        <v/>
      </c>
      <c r="K181" s="39" t="str">
        <f ca="1">IFERROR(__xludf.DUMMYFUNCTION("""COMPUTED_VALUE"""),"")</f>
        <v/>
      </c>
      <c r="L181" s="39" t="str">
        <f ca="1">IFERROR(__xludf.DUMMYFUNCTION("""COMPUTED_VALUE"""),"")</f>
        <v/>
      </c>
      <c r="M181" s="39" t="str">
        <f ca="1">IFERROR(__xludf.DUMMYFUNCTION("""COMPUTED_VALUE"""),"")</f>
        <v/>
      </c>
      <c r="N181" s="39" t="str">
        <f ca="1">IFERROR(__xludf.DUMMYFUNCTION("""COMPUTED_VALUE"""),"")</f>
        <v/>
      </c>
      <c r="O181" s="39" t="str">
        <f ca="1">IFERROR(__xludf.DUMMYFUNCTION("""COMPUTED_VALUE"""),"")</f>
        <v/>
      </c>
      <c r="P181" s="39" t="str">
        <f ca="1">IFERROR(__xludf.DUMMYFUNCTION("""COMPUTED_VALUE"""),"")</f>
        <v/>
      </c>
      <c r="Q181" s="39" t="str">
        <f ca="1">IFERROR(__xludf.DUMMYFUNCTION("""COMPUTED_VALUE"""),"")</f>
        <v/>
      </c>
      <c r="R181" s="39" t="str">
        <f ca="1">IFERROR(__xludf.DUMMYFUNCTION("""COMPUTED_VALUE"""),"")</f>
        <v/>
      </c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20.25" customHeight="1" x14ac:dyDescent="0.25">
      <c r="A182" s="5"/>
      <c r="B182" s="35"/>
      <c r="C182" s="36"/>
      <c r="D182" s="37"/>
      <c r="E182" s="36"/>
      <c r="F182" s="36"/>
      <c r="G182" s="38" t="str">
        <f ca="1">IFERROR(__xludf.DUMMYFUNCTION("""COMPUTED_VALUE"""),"")</f>
        <v/>
      </c>
      <c r="H182" s="38" t="str">
        <f ca="1">IFERROR(__xludf.DUMMYFUNCTION("""COMPUTED_VALUE"""),"")</f>
        <v/>
      </c>
      <c r="I182" s="38" t="str">
        <f ca="1">IFERROR(__xludf.DUMMYFUNCTION("""COMPUTED_VALUE"""),"")</f>
        <v/>
      </c>
      <c r="J182" s="39" t="str">
        <f ca="1">IFERROR(__xludf.DUMMYFUNCTION("""COMPUTED_VALUE"""),"")</f>
        <v/>
      </c>
      <c r="K182" s="39" t="str">
        <f ca="1">IFERROR(__xludf.DUMMYFUNCTION("""COMPUTED_VALUE"""),"")</f>
        <v/>
      </c>
      <c r="L182" s="39" t="str">
        <f ca="1">IFERROR(__xludf.DUMMYFUNCTION("""COMPUTED_VALUE"""),"")</f>
        <v/>
      </c>
      <c r="M182" s="39" t="str">
        <f ca="1">IFERROR(__xludf.DUMMYFUNCTION("""COMPUTED_VALUE"""),"")</f>
        <v/>
      </c>
      <c r="N182" s="39" t="str">
        <f ca="1">IFERROR(__xludf.DUMMYFUNCTION("""COMPUTED_VALUE"""),"")</f>
        <v/>
      </c>
      <c r="O182" s="39" t="str">
        <f ca="1">IFERROR(__xludf.DUMMYFUNCTION("""COMPUTED_VALUE"""),"")</f>
        <v/>
      </c>
      <c r="P182" s="39" t="str">
        <f ca="1">IFERROR(__xludf.DUMMYFUNCTION("""COMPUTED_VALUE"""),"")</f>
        <v/>
      </c>
      <c r="Q182" s="39" t="str">
        <f ca="1">IFERROR(__xludf.DUMMYFUNCTION("""COMPUTED_VALUE"""),"")</f>
        <v/>
      </c>
      <c r="R182" s="39" t="str">
        <f ca="1">IFERROR(__xludf.DUMMYFUNCTION("""COMPUTED_VALUE"""),"")</f>
        <v/>
      </c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20.25" customHeight="1" x14ac:dyDescent="0.25">
      <c r="A183" s="5"/>
      <c r="B183" s="35"/>
      <c r="C183" s="36"/>
      <c r="D183" s="37"/>
      <c r="E183" s="36"/>
      <c r="F183" s="36"/>
      <c r="G183" s="38" t="str">
        <f ca="1">IFERROR(__xludf.DUMMYFUNCTION("""COMPUTED_VALUE"""),"")</f>
        <v/>
      </c>
      <c r="H183" s="38" t="str">
        <f ca="1">IFERROR(__xludf.DUMMYFUNCTION("""COMPUTED_VALUE"""),"")</f>
        <v/>
      </c>
      <c r="I183" s="38" t="str">
        <f ca="1">IFERROR(__xludf.DUMMYFUNCTION("""COMPUTED_VALUE"""),"")</f>
        <v/>
      </c>
      <c r="J183" s="39" t="str">
        <f ca="1">IFERROR(__xludf.DUMMYFUNCTION("""COMPUTED_VALUE"""),"")</f>
        <v/>
      </c>
      <c r="K183" s="39" t="str">
        <f ca="1">IFERROR(__xludf.DUMMYFUNCTION("""COMPUTED_VALUE"""),"")</f>
        <v/>
      </c>
      <c r="L183" s="39" t="str">
        <f ca="1">IFERROR(__xludf.DUMMYFUNCTION("""COMPUTED_VALUE"""),"")</f>
        <v/>
      </c>
      <c r="M183" s="39" t="str">
        <f ca="1">IFERROR(__xludf.DUMMYFUNCTION("""COMPUTED_VALUE"""),"")</f>
        <v/>
      </c>
      <c r="N183" s="39" t="str">
        <f ca="1">IFERROR(__xludf.DUMMYFUNCTION("""COMPUTED_VALUE"""),"")</f>
        <v/>
      </c>
      <c r="O183" s="39" t="str">
        <f ca="1">IFERROR(__xludf.DUMMYFUNCTION("""COMPUTED_VALUE"""),"")</f>
        <v/>
      </c>
      <c r="P183" s="39" t="str">
        <f ca="1">IFERROR(__xludf.DUMMYFUNCTION("""COMPUTED_VALUE"""),"")</f>
        <v/>
      </c>
      <c r="Q183" s="39" t="str">
        <f ca="1">IFERROR(__xludf.DUMMYFUNCTION("""COMPUTED_VALUE"""),"")</f>
        <v/>
      </c>
      <c r="R183" s="39" t="str">
        <f ca="1">IFERROR(__xludf.DUMMYFUNCTION("""COMPUTED_VALUE"""),"")</f>
        <v/>
      </c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20.25" customHeight="1" x14ac:dyDescent="0.25">
      <c r="A184" s="5"/>
      <c r="B184" s="35"/>
      <c r="C184" s="36"/>
      <c r="D184" s="37"/>
      <c r="E184" s="36"/>
      <c r="F184" s="36"/>
      <c r="G184" s="38" t="str">
        <f ca="1">IFERROR(__xludf.DUMMYFUNCTION("""COMPUTED_VALUE"""),"")</f>
        <v/>
      </c>
      <c r="H184" s="38" t="str">
        <f ca="1">IFERROR(__xludf.DUMMYFUNCTION("""COMPUTED_VALUE"""),"")</f>
        <v/>
      </c>
      <c r="I184" s="38" t="str">
        <f ca="1">IFERROR(__xludf.DUMMYFUNCTION("""COMPUTED_VALUE"""),"")</f>
        <v/>
      </c>
      <c r="J184" s="39" t="str">
        <f ca="1">IFERROR(__xludf.DUMMYFUNCTION("""COMPUTED_VALUE"""),"")</f>
        <v/>
      </c>
      <c r="K184" s="39" t="str">
        <f ca="1">IFERROR(__xludf.DUMMYFUNCTION("""COMPUTED_VALUE"""),"")</f>
        <v/>
      </c>
      <c r="L184" s="39" t="str">
        <f ca="1">IFERROR(__xludf.DUMMYFUNCTION("""COMPUTED_VALUE"""),"")</f>
        <v/>
      </c>
      <c r="M184" s="39" t="str">
        <f ca="1">IFERROR(__xludf.DUMMYFUNCTION("""COMPUTED_VALUE"""),"")</f>
        <v/>
      </c>
      <c r="N184" s="39" t="str">
        <f ca="1">IFERROR(__xludf.DUMMYFUNCTION("""COMPUTED_VALUE"""),"")</f>
        <v/>
      </c>
      <c r="O184" s="39" t="str">
        <f ca="1">IFERROR(__xludf.DUMMYFUNCTION("""COMPUTED_VALUE"""),"")</f>
        <v/>
      </c>
      <c r="P184" s="39" t="str">
        <f ca="1">IFERROR(__xludf.DUMMYFUNCTION("""COMPUTED_VALUE"""),"")</f>
        <v/>
      </c>
      <c r="Q184" s="39" t="str">
        <f ca="1">IFERROR(__xludf.DUMMYFUNCTION("""COMPUTED_VALUE"""),"")</f>
        <v/>
      </c>
      <c r="R184" s="39" t="str">
        <f ca="1">IFERROR(__xludf.DUMMYFUNCTION("""COMPUTED_VALUE"""),"")</f>
        <v/>
      </c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20.25" customHeight="1" x14ac:dyDescent="0.25">
      <c r="A185" s="5"/>
      <c r="B185" s="35"/>
      <c r="C185" s="36"/>
      <c r="D185" s="37"/>
      <c r="E185" s="36"/>
      <c r="F185" s="36"/>
      <c r="G185" s="38" t="str">
        <f ca="1">IFERROR(__xludf.DUMMYFUNCTION("""COMPUTED_VALUE"""),"")</f>
        <v/>
      </c>
      <c r="H185" s="38" t="str">
        <f ca="1">IFERROR(__xludf.DUMMYFUNCTION("""COMPUTED_VALUE"""),"")</f>
        <v/>
      </c>
      <c r="I185" s="38" t="str">
        <f ca="1">IFERROR(__xludf.DUMMYFUNCTION("""COMPUTED_VALUE"""),"")</f>
        <v/>
      </c>
      <c r="J185" s="39" t="str">
        <f ca="1">IFERROR(__xludf.DUMMYFUNCTION("""COMPUTED_VALUE"""),"")</f>
        <v/>
      </c>
      <c r="K185" s="39" t="str">
        <f ca="1">IFERROR(__xludf.DUMMYFUNCTION("""COMPUTED_VALUE"""),"")</f>
        <v/>
      </c>
      <c r="L185" s="39" t="str">
        <f ca="1">IFERROR(__xludf.DUMMYFUNCTION("""COMPUTED_VALUE"""),"")</f>
        <v/>
      </c>
      <c r="M185" s="39" t="str">
        <f ca="1">IFERROR(__xludf.DUMMYFUNCTION("""COMPUTED_VALUE"""),"")</f>
        <v/>
      </c>
      <c r="N185" s="39" t="str">
        <f ca="1">IFERROR(__xludf.DUMMYFUNCTION("""COMPUTED_VALUE"""),"")</f>
        <v/>
      </c>
      <c r="O185" s="39" t="str">
        <f ca="1">IFERROR(__xludf.DUMMYFUNCTION("""COMPUTED_VALUE"""),"")</f>
        <v/>
      </c>
      <c r="P185" s="39" t="str">
        <f ca="1">IFERROR(__xludf.DUMMYFUNCTION("""COMPUTED_VALUE"""),"")</f>
        <v/>
      </c>
      <c r="Q185" s="39" t="str">
        <f ca="1">IFERROR(__xludf.DUMMYFUNCTION("""COMPUTED_VALUE"""),"")</f>
        <v/>
      </c>
      <c r="R185" s="39" t="str">
        <f ca="1">IFERROR(__xludf.DUMMYFUNCTION("""COMPUTED_VALUE"""),"")</f>
        <v/>
      </c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20.25" customHeight="1" x14ac:dyDescent="0.25">
      <c r="A186" s="5"/>
      <c r="B186" s="35"/>
      <c r="C186" s="36"/>
      <c r="D186" s="37"/>
      <c r="E186" s="36"/>
      <c r="F186" s="36"/>
      <c r="G186" s="38" t="str">
        <f ca="1">IFERROR(__xludf.DUMMYFUNCTION("""COMPUTED_VALUE"""),"")</f>
        <v/>
      </c>
      <c r="H186" s="38" t="str">
        <f ca="1">IFERROR(__xludf.DUMMYFUNCTION("""COMPUTED_VALUE"""),"")</f>
        <v/>
      </c>
      <c r="I186" s="38" t="str">
        <f ca="1">IFERROR(__xludf.DUMMYFUNCTION("""COMPUTED_VALUE"""),"")</f>
        <v/>
      </c>
      <c r="J186" s="39" t="str">
        <f ca="1">IFERROR(__xludf.DUMMYFUNCTION("""COMPUTED_VALUE"""),"")</f>
        <v/>
      </c>
      <c r="K186" s="39" t="str">
        <f ca="1">IFERROR(__xludf.DUMMYFUNCTION("""COMPUTED_VALUE"""),"")</f>
        <v/>
      </c>
      <c r="L186" s="39" t="str">
        <f ca="1">IFERROR(__xludf.DUMMYFUNCTION("""COMPUTED_VALUE"""),"")</f>
        <v/>
      </c>
      <c r="M186" s="39" t="str">
        <f ca="1">IFERROR(__xludf.DUMMYFUNCTION("""COMPUTED_VALUE"""),"")</f>
        <v/>
      </c>
      <c r="N186" s="39" t="str">
        <f ca="1">IFERROR(__xludf.DUMMYFUNCTION("""COMPUTED_VALUE"""),"")</f>
        <v/>
      </c>
      <c r="O186" s="39" t="str">
        <f ca="1">IFERROR(__xludf.DUMMYFUNCTION("""COMPUTED_VALUE"""),"")</f>
        <v/>
      </c>
      <c r="P186" s="39" t="str">
        <f ca="1">IFERROR(__xludf.DUMMYFUNCTION("""COMPUTED_VALUE"""),"")</f>
        <v/>
      </c>
      <c r="Q186" s="39" t="str">
        <f ca="1">IFERROR(__xludf.DUMMYFUNCTION("""COMPUTED_VALUE"""),"")</f>
        <v/>
      </c>
      <c r="R186" s="39" t="str">
        <f ca="1">IFERROR(__xludf.DUMMYFUNCTION("""COMPUTED_VALUE"""),"")</f>
        <v/>
      </c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20.25" customHeight="1" x14ac:dyDescent="0.25">
      <c r="A187" s="5"/>
      <c r="B187" s="35"/>
      <c r="C187" s="36"/>
      <c r="D187" s="37"/>
      <c r="E187" s="36"/>
      <c r="F187" s="36"/>
      <c r="G187" s="38" t="str">
        <f ca="1">IFERROR(__xludf.DUMMYFUNCTION("""COMPUTED_VALUE"""),"")</f>
        <v/>
      </c>
      <c r="H187" s="38" t="str">
        <f ca="1">IFERROR(__xludf.DUMMYFUNCTION("""COMPUTED_VALUE"""),"")</f>
        <v/>
      </c>
      <c r="I187" s="38" t="str">
        <f ca="1">IFERROR(__xludf.DUMMYFUNCTION("""COMPUTED_VALUE"""),"")</f>
        <v/>
      </c>
      <c r="J187" s="39" t="str">
        <f ca="1">IFERROR(__xludf.DUMMYFUNCTION("""COMPUTED_VALUE"""),"")</f>
        <v/>
      </c>
      <c r="K187" s="39" t="str">
        <f ca="1">IFERROR(__xludf.DUMMYFUNCTION("""COMPUTED_VALUE"""),"")</f>
        <v/>
      </c>
      <c r="L187" s="39" t="str">
        <f ca="1">IFERROR(__xludf.DUMMYFUNCTION("""COMPUTED_VALUE"""),"")</f>
        <v/>
      </c>
      <c r="M187" s="39" t="str">
        <f ca="1">IFERROR(__xludf.DUMMYFUNCTION("""COMPUTED_VALUE"""),"")</f>
        <v/>
      </c>
      <c r="N187" s="39" t="str">
        <f ca="1">IFERROR(__xludf.DUMMYFUNCTION("""COMPUTED_VALUE"""),"")</f>
        <v/>
      </c>
      <c r="O187" s="39" t="str">
        <f ca="1">IFERROR(__xludf.DUMMYFUNCTION("""COMPUTED_VALUE"""),"")</f>
        <v/>
      </c>
      <c r="P187" s="39" t="str">
        <f ca="1">IFERROR(__xludf.DUMMYFUNCTION("""COMPUTED_VALUE"""),"")</f>
        <v/>
      </c>
      <c r="Q187" s="39" t="str">
        <f ca="1">IFERROR(__xludf.DUMMYFUNCTION("""COMPUTED_VALUE"""),"")</f>
        <v/>
      </c>
      <c r="R187" s="39" t="str">
        <f ca="1">IFERROR(__xludf.DUMMYFUNCTION("""COMPUTED_VALUE"""),"")</f>
        <v/>
      </c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20.25" customHeight="1" x14ac:dyDescent="0.25">
      <c r="A188" s="5"/>
      <c r="B188" s="35"/>
      <c r="C188" s="36"/>
      <c r="D188" s="37"/>
      <c r="E188" s="36"/>
      <c r="F188" s="36"/>
      <c r="G188" s="38" t="str">
        <f ca="1">IFERROR(__xludf.DUMMYFUNCTION("""COMPUTED_VALUE"""),"")</f>
        <v/>
      </c>
      <c r="H188" s="38" t="str">
        <f ca="1">IFERROR(__xludf.DUMMYFUNCTION("""COMPUTED_VALUE"""),"")</f>
        <v/>
      </c>
      <c r="I188" s="38" t="str">
        <f ca="1">IFERROR(__xludf.DUMMYFUNCTION("""COMPUTED_VALUE"""),"")</f>
        <v/>
      </c>
      <c r="J188" s="39" t="str">
        <f ca="1">IFERROR(__xludf.DUMMYFUNCTION("""COMPUTED_VALUE"""),"")</f>
        <v/>
      </c>
      <c r="K188" s="39" t="str">
        <f ca="1">IFERROR(__xludf.DUMMYFUNCTION("""COMPUTED_VALUE"""),"")</f>
        <v/>
      </c>
      <c r="L188" s="39" t="str">
        <f ca="1">IFERROR(__xludf.DUMMYFUNCTION("""COMPUTED_VALUE"""),"")</f>
        <v/>
      </c>
      <c r="M188" s="39" t="str">
        <f ca="1">IFERROR(__xludf.DUMMYFUNCTION("""COMPUTED_VALUE"""),"")</f>
        <v/>
      </c>
      <c r="N188" s="39" t="str">
        <f ca="1">IFERROR(__xludf.DUMMYFUNCTION("""COMPUTED_VALUE"""),"")</f>
        <v/>
      </c>
      <c r="O188" s="39" t="str">
        <f ca="1">IFERROR(__xludf.DUMMYFUNCTION("""COMPUTED_VALUE"""),"")</f>
        <v/>
      </c>
      <c r="P188" s="39" t="str">
        <f ca="1">IFERROR(__xludf.DUMMYFUNCTION("""COMPUTED_VALUE"""),"")</f>
        <v/>
      </c>
      <c r="Q188" s="39" t="str">
        <f ca="1">IFERROR(__xludf.DUMMYFUNCTION("""COMPUTED_VALUE"""),"")</f>
        <v/>
      </c>
      <c r="R188" s="39" t="str">
        <f ca="1">IFERROR(__xludf.DUMMYFUNCTION("""COMPUTED_VALUE"""),"")</f>
        <v/>
      </c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20.25" customHeight="1" x14ac:dyDescent="0.25">
      <c r="A189" s="5"/>
      <c r="B189" s="35"/>
      <c r="C189" s="36"/>
      <c r="D189" s="37"/>
      <c r="E189" s="36"/>
      <c r="F189" s="36"/>
      <c r="G189" s="38" t="str">
        <f ca="1">IFERROR(__xludf.DUMMYFUNCTION("""COMPUTED_VALUE"""),"")</f>
        <v/>
      </c>
      <c r="H189" s="38" t="str">
        <f ca="1">IFERROR(__xludf.DUMMYFUNCTION("""COMPUTED_VALUE"""),"")</f>
        <v/>
      </c>
      <c r="I189" s="38" t="str">
        <f ca="1">IFERROR(__xludf.DUMMYFUNCTION("""COMPUTED_VALUE"""),"")</f>
        <v/>
      </c>
      <c r="J189" s="39" t="str">
        <f ca="1">IFERROR(__xludf.DUMMYFUNCTION("""COMPUTED_VALUE"""),"")</f>
        <v/>
      </c>
      <c r="K189" s="39" t="str">
        <f ca="1">IFERROR(__xludf.DUMMYFUNCTION("""COMPUTED_VALUE"""),"")</f>
        <v/>
      </c>
      <c r="L189" s="39" t="str">
        <f ca="1">IFERROR(__xludf.DUMMYFUNCTION("""COMPUTED_VALUE"""),"")</f>
        <v/>
      </c>
      <c r="M189" s="39" t="str">
        <f ca="1">IFERROR(__xludf.DUMMYFUNCTION("""COMPUTED_VALUE"""),"")</f>
        <v/>
      </c>
      <c r="N189" s="39" t="str">
        <f ca="1">IFERROR(__xludf.DUMMYFUNCTION("""COMPUTED_VALUE"""),"")</f>
        <v/>
      </c>
      <c r="O189" s="39" t="str">
        <f ca="1">IFERROR(__xludf.DUMMYFUNCTION("""COMPUTED_VALUE"""),"")</f>
        <v/>
      </c>
      <c r="P189" s="39" t="str">
        <f ca="1">IFERROR(__xludf.DUMMYFUNCTION("""COMPUTED_VALUE"""),"")</f>
        <v/>
      </c>
      <c r="Q189" s="39" t="str">
        <f ca="1">IFERROR(__xludf.DUMMYFUNCTION("""COMPUTED_VALUE"""),"")</f>
        <v/>
      </c>
      <c r="R189" s="39" t="str">
        <f ca="1">IFERROR(__xludf.DUMMYFUNCTION("""COMPUTED_VALUE"""),"")</f>
        <v/>
      </c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20.25" customHeight="1" x14ac:dyDescent="0.25">
      <c r="A190" s="5"/>
      <c r="B190" s="35"/>
      <c r="C190" s="36"/>
      <c r="D190" s="37"/>
      <c r="E190" s="36"/>
      <c r="F190" s="36"/>
      <c r="G190" s="38" t="str">
        <f ca="1">IFERROR(__xludf.DUMMYFUNCTION("""COMPUTED_VALUE"""),"")</f>
        <v/>
      </c>
      <c r="H190" s="38" t="str">
        <f ca="1">IFERROR(__xludf.DUMMYFUNCTION("""COMPUTED_VALUE"""),"")</f>
        <v/>
      </c>
      <c r="I190" s="38" t="str">
        <f ca="1">IFERROR(__xludf.DUMMYFUNCTION("""COMPUTED_VALUE"""),"")</f>
        <v/>
      </c>
      <c r="J190" s="39" t="str">
        <f ca="1">IFERROR(__xludf.DUMMYFUNCTION("""COMPUTED_VALUE"""),"")</f>
        <v/>
      </c>
      <c r="K190" s="39" t="str">
        <f ca="1">IFERROR(__xludf.DUMMYFUNCTION("""COMPUTED_VALUE"""),"")</f>
        <v/>
      </c>
      <c r="L190" s="39" t="str">
        <f ca="1">IFERROR(__xludf.DUMMYFUNCTION("""COMPUTED_VALUE"""),"")</f>
        <v/>
      </c>
      <c r="M190" s="39" t="str">
        <f ca="1">IFERROR(__xludf.DUMMYFUNCTION("""COMPUTED_VALUE"""),"")</f>
        <v/>
      </c>
      <c r="N190" s="39" t="str">
        <f ca="1">IFERROR(__xludf.DUMMYFUNCTION("""COMPUTED_VALUE"""),"")</f>
        <v/>
      </c>
      <c r="O190" s="39" t="str">
        <f ca="1">IFERROR(__xludf.DUMMYFUNCTION("""COMPUTED_VALUE"""),"")</f>
        <v/>
      </c>
      <c r="P190" s="39" t="str">
        <f ca="1">IFERROR(__xludf.DUMMYFUNCTION("""COMPUTED_VALUE"""),"")</f>
        <v/>
      </c>
      <c r="Q190" s="39" t="str">
        <f ca="1">IFERROR(__xludf.DUMMYFUNCTION("""COMPUTED_VALUE"""),"")</f>
        <v/>
      </c>
      <c r="R190" s="39" t="str">
        <f ca="1">IFERROR(__xludf.DUMMYFUNCTION("""COMPUTED_VALUE"""),"")</f>
        <v/>
      </c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20.25" customHeight="1" x14ac:dyDescent="0.25">
      <c r="A191" s="5"/>
      <c r="B191" s="35"/>
      <c r="C191" s="36"/>
      <c r="D191" s="37"/>
      <c r="E191" s="36"/>
      <c r="F191" s="36"/>
      <c r="G191" s="38" t="str">
        <f ca="1">IFERROR(__xludf.DUMMYFUNCTION("""COMPUTED_VALUE"""),"")</f>
        <v/>
      </c>
      <c r="H191" s="38" t="str">
        <f ca="1">IFERROR(__xludf.DUMMYFUNCTION("""COMPUTED_VALUE"""),"")</f>
        <v/>
      </c>
      <c r="I191" s="38" t="str">
        <f ca="1">IFERROR(__xludf.DUMMYFUNCTION("""COMPUTED_VALUE"""),"")</f>
        <v/>
      </c>
      <c r="J191" s="39" t="str">
        <f ca="1">IFERROR(__xludf.DUMMYFUNCTION("""COMPUTED_VALUE"""),"")</f>
        <v/>
      </c>
      <c r="K191" s="39" t="str">
        <f ca="1">IFERROR(__xludf.DUMMYFUNCTION("""COMPUTED_VALUE"""),"")</f>
        <v/>
      </c>
      <c r="L191" s="39" t="str">
        <f ca="1">IFERROR(__xludf.DUMMYFUNCTION("""COMPUTED_VALUE"""),"")</f>
        <v/>
      </c>
      <c r="M191" s="39" t="str">
        <f ca="1">IFERROR(__xludf.DUMMYFUNCTION("""COMPUTED_VALUE"""),"")</f>
        <v/>
      </c>
      <c r="N191" s="39" t="str">
        <f ca="1">IFERROR(__xludf.DUMMYFUNCTION("""COMPUTED_VALUE"""),"")</f>
        <v/>
      </c>
      <c r="O191" s="39" t="str">
        <f ca="1">IFERROR(__xludf.DUMMYFUNCTION("""COMPUTED_VALUE"""),"")</f>
        <v/>
      </c>
      <c r="P191" s="39" t="str">
        <f ca="1">IFERROR(__xludf.DUMMYFUNCTION("""COMPUTED_VALUE"""),"")</f>
        <v/>
      </c>
      <c r="Q191" s="39" t="str">
        <f ca="1">IFERROR(__xludf.DUMMYFUNCTION("""COMPUTED_VALUE"""),"")</f>
        <v/>
      </c>
      <c r="R191" s="39" t="str">
        <f ca="1">IFERROR(__xludf.DUMMYFUNCTION("""COMPUTED_VALUE"""),"")</f>
        <v/>
      </c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20.25" customHeight="1" x14ac:dyDescent="0.25">
      <c r="A192" s="5"/>
      <c r="B192" s="35"/>
      <c r="C192" s="36"/>
      <c r="D192" s="37"/>
      <c r="E192" s="36"/>
      <c r="F192" s="36"/>
      <c r="G192" s="38" t="str">
        <f ca="1">IFERROR(__xludf.DUMMYFUNCTION("""COMPUTED_VALUE"""),"")</f>
        <v/>
      </c>
      <c r="H192" s="38" t="str">
        <f ca="1">IFERROR(__xludf.DUMMYFUNCTION("""COMPUTED_VALUE"""),"")</f>
        <v/>
      </c>
      <c r="I192" s="38" t="str">
        <f ca="1">IFERROR(__xludf.DUMMYFUNCTION("""COMPUTED_VALUE"""),"")</f>
        <v/>
      </c>
      <c r="J192" s="39" t="str">
        <f ca="1">IFERROR(__xludf.DUMMYFUNCTION("""COMPUTED_VALUE"""),"")</f>
        <v/>
      </c>
      <c r="K192" s="39" t="str">
        <f ca="1">IFERROR(__xludf.DUMMYFUNCTION("""COMPUTED_VALUE"""),"")</f>
        <v/>
      </c>
      <c r="L192" s="39" t="str">
        <f ca="1">IFERROR(__xludf.DUMMYFUNCTION("""COMPUTED_VALUE"""),"")</f>
        <v/>
      </c>
      <c r="M192" s="39" t="str">
        <f ca="1">IFERROR(__xludf.DUMMYFUNCTION("""COMPUTED_VALUE"""),"")</f>
        <v/>
      </c>
      <c r="N192" s="39" t="str">
        <f ca="1">IFERROR(__xludf.DUMMYFUNCTION("""COMPUTED_VALUE"""),"")</f>
        <v/>
      </c>
      <c r="O192" s="39" t="str">
        <f ca="1">IFERROR(__xludf.DUMMYFUNCTION("""COMPUTED_VALUE"""),"")</f>
        <v/>
      </c>
      <c r="P192" s="39" t="str">
        <f ca="1">IFERROR(__xludf.DUMMYFUNCTION("""COMPUTED_VALUE"""),"")</f>
        <v/>
      </c>
      <c r="Q192" s="39" t="str">
        <f ca="1">IFERROR(__xludf.DUMMYFUNCTION("""COMPUTED_VALUE"""),"")</f>
        <v/>
      </c>
      <c r="R192" s="39" t="str">
        <f ca="1">IFERROR(__xludf.DUMMYFUNCTION("""COMPUTED_VALUE"""),"")</f>
        <v/>
      </c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20.25" customHeight="1" x14ac:dyDescent="0.25">
      <c r="A193" s="5"/>
      <c r="B193" s="35"/>
      <c r="C193" s="36"/>
      <c r="D193" s="37"/>
      <c r="E193" s="36"/>
      <c r="F193" s="36"/>
      <c r="G193" s="38" t="str">
        <f ca="1">IFERROR(__xludf.DUMMYFUNCTION("""COMPUTED_VALUE"""),"")</f>
        <v/>
      </c>
      <c r="H193" s="38" t="str">
        <f ca="1">IFERROR(__xludf.DUMMYFUNCTION("""COMPUTED_VALUE"""),"")</f>
        <v/>
      </c>
      <c r="I193" s="38" t="str">
        <f ca="1">IFERROR(__xludf.DUMMYFUNCTION("""COMPUTED_VALUE"""),"")</f>
        <v/>
      </c>
      <c r="J193" s="39" t="str">
        <f ca="1">IFERROR(__xludf.DUMMYFUNCTION("""COMPUTED_VALUE"""),"")</f>
        <v/>
      </c>
      <c r="K193" s="39" t="str">
        <f ca="1">IFERROR(__xludf.DUMMYFUNCTION("""COMPUTED_VALUE"""),"")</f>
        <v/>
      </c>
      <c r="L193" s="39" t="str">
        <f ca="1">IFERROR(__xludf.DUMMYFUNCTION("""COMPUTED_VALUE"""),"")</f>
        <v/>
      </c>
      <c r="M193" s="39" t="str">
        <f ca="1">IFERROR(__xludf.DUMMYFUNCTION("""COMPUTED_VALUE"""),"")</f>
        <v/>
      </c>
      <c r="N193" s="39" t="str">
        <f ca="1">IFERROR(__xludf.DUMMYFUNCTION("""COMPUTED_VALUE"""),"")</f>
        <v/>
      </c>
      <c r="O193" s="39" t="str">
        <f ca="1">IFERROR(__xludf.DUMMYFUNCTION("""COMPUTED_VALUE"""),"")</f>
        <v/>
      </c>
      <c r="P193" s="39" t="str">
        <f ca="1">IFERROR(__xludf.DUMMYFUNCTION("""COMPUTED_VALUE"""),"")</f>
        <v/>
      </c>
      <c r="Q193" s="39" t="str">
        <f ca="1">IFERROR(__xludf.DUMMYFUNCTION("""COMPUTED_VALUE"""),"")</f>
        <v/>
      </c>
      <c r="R193" s="39" t="str">
        <f ca="1">IFERROR(__xludf.DUMMYFUNCTION("""COMPUTED_VALUE"""),"")</f>
        <v/>
      </c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20.25" customHeight="1" x14ac:dyDescent="0.25">
      <c r="A194" s="5"/>
      <c r="B194" s="35"/>
      <c r="C194" s="36"/>
      <c r="D194" s="37"/>
      <c r="E194" s="36"/>
      <c r="F194" s="36"/>
      <c r="G194" s="38" t="str">
        <f ca="1">IFERROR(__xludf.DUMMYFUNCTION("""COMPUTED_VALUE"""),"")</f>
        <v/>
      </c>
      <c r="H194" s="38" t="str">
        <f ca="1">IFERROR(__xludf.DUMMYFUNCTION("""COMPUTED_VALUE"""),"")</f>
        <v/>
      </c>
      <c r="I194" s="38" t="str">
        <f ca="1">IFERROR(__xludf.DUMMYFUNCTION("""COMPUTED_VALUE"""),"")</f>
        <v/>
      </c>
      <c r="J194" s="39" t="str">
        <f ca="1">IFERROR(__xludf.DUMMYFUNCTION("""COMPUTED_VALUE"""),"")</f>
        <v/>
      </c>
      <c r="K194" s="39" t="str">
        <f ca="1">IFERROR(__xludf.DUMMYFUNCTION("""COMPUTED_VALUE"""),"")</f>
        <v/>
      </c>
      <c r="L194" s="39" t="str">
        <f ca="1">IFERROR(__xludf.DUMMYFUNCTION("""COMPUTED_VALUE"""),"")</f>
        <v/>
      </c>
      <c r="M194" s="39" t="str">
        <f ca="1">IFERROR(__xludf.DUMMYFUNCTION("""COMPUTED_VALUE"""),"")</f>
        <v/>
      </c>
      <c r="N194" s="39" t="str">
        <f ca="1">IFERROR(__xludf.DUMMYFUNCTION("""COMPUTED_VALUE"""),"")</f>
        <v/>
      </c>
      <c r="O194" s="39" t="str">
        <f ca="1">IFERROR(__xludf.DUMMYFUNCTION("""COMPUTED_VALUE"""),"")</f>
        <v/>
      </c>
      <c r="P194" s="39" t="str">
        <f ca="1">IFERROR(__xludf.DUMMYFUNCTION("""COMPUTED_VALUE"""),"")</f>
        <v/>
      </c>
      <c r="Q194" s="39" t="str">
        <f ca="1">IFERROR(__xludf.DUMMYFUNCTION("""COMPUTED_VALUE"""),"")</f>
        <v/>
      </c>
      <c r="R194" s="39" t="str">
        <f ca="1">IFERROR(__xludf.DUMMYFUNCTION("""COMPUTED_VALUE"""),"")</f>
        <v/>
      </c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20.25" customHeight="1" x14ac:dyDescent="0.25">
      <c r="A195" s="5"/>
      <c r="B195" s="35"/>
      <c r="C195" s="36"/>
      <c r="D195" s="37"/>
      <c r="E195" s="36"/>
      <c r="F195" s="36"/>
      <c r="G195" s="38" t="str">
        <f ca="1">IFERROR(__xludf.DUMMYFUNCTION("""COMPUTED_VALUE"""),"")</f>
        <v/>
      </c>
      <c r="H195" s="38" t="str">
        <f ca="1">IFERROR(__xludf.DUMMYFUNCTION("""COMPUTED_VALUE"""),"")</f>
        <v/>
      </c>
      <c r="I195" s="38" t="str">
        <f ca="1">IFERROR(__xludf.DUMMYFUNCTION("""COMPUTED_VALUE"""),"")</f>
        <v/>
      </c>
      <c r="J195" s="39" t="str">
        <f ca="1">IFERROR(__xludf.DUMMYFUNCTION("""COMPUTED_VALUE"""),"")</f>
        <v/>
      </c>
      <c r="K195" s="39" t="str">
        <f ca="1">IFERROR(__xludf.DUMMYFUNCTION("""COMPUTED_VALUE"""),"")</f>
        <v/>
      </c>
      <c r="L195" s="39" t="str">
        <f ca="1">IFERROR(__xludf.DUMMYFUNCTION("""COMPUTED_VALUE"""),"")</f>
        <v/>
      </c>
      <c r="M195" s="39" t="str">
        <f ca="1">IFERROR(__xludf.DUMMYFUNCTION("""COMPUTED_VALUE"""),"")</f>
        <v/>
      </c>
      <c r="N195" s="39" t="str">
        <f ca="1">IFERROR(__xludf.DUMMYFUNCTION("""COMPUTED_VALUE"""),"")</f>
        <v/>
      </c>
      <c r="O195" s="39" t="str">
        <f ca="1">IFERROR(__xludf.DUMMYFUNCTION("""COMPUTED_VALUE"""),"")</f>
        <v/>
      </c>
      <c r="P195" s="39" t="str">
        <f ca="1">IFERROR(__xludf.DUMMYFUNCTION("""COMPUTED_VALUE"""),"")</f>
        <v/>
      </c>
      <c r="Q195" s="39" t="str">
        <f ca="1">IFERROR(__xludf.DUMMYFUNCTION("""COMPUTED_VALUE"""),"")</f>
        <v/>
      </c>
      <c r="R195" s="39" t="str">
        <f ca="1">IFERROR(__xludf.DUMMYFUNCTION("""COMPUTED_VALUE"""),"")</f>
        <v/>
      </c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20.25" customHeight="1" x14ac:dyDescent="0.25">
      <c r="A196" s="5"/>
      <c r="B196" s="35"/>
      <c r="C196" s="36"/>
      <c r="D196" s="37"/>
      <c r="E196" s="36"/>
      <c r="F196" s="36"/>
      <c r="G196" s="38" t="str">
        <f ca="1">IFERROR(__xludf.DUMMYFUNCTION("""COMPUTED_VALUE"""),"")</f>
        <v/>
      </c>
      <c r="H196" s="38" t="str">
        <f ca="1">IFERROR(__xludf.DUMMYFUNCTION("""COMPUTED_VALUE"""),"")</f>
        <v/>
      </c>
      <c r="I196" s="38" t="str">
        <f ca="1">IFERROR(__xludf.DUMMYFUNCTION("""COMPUTED_VALUE"""),"")</f>
        <v/>
      </c>
      <c r="J196" s="39" t="str">
        <f ca="1">IFERROR(__xludf.DUMMYFUNCTION("""COMPUTED_VALUE"""),"")</f>
        <v/>
      </c>
      <c r="K196" s="39" t="str">
        <f ca="1">IFERROR(__xludf.DUMMYFUNCTION("""COMPUTED_VALUE"""),"")</f>
        <v/>
      </c>
      <c r="L196" s="39" t="str">
        <f ca="1">IFERROR(__xludf.DUMMYFUNCTION("""COMPUTED_VALUE"""),"")</f>
        <v/>
      </c>
      <c r="M196" s="39" t="str">
        <f ca="1">IFERROR(__xludf.DUMMYFUNCTION("""COMPUTED_VALUE"""),"")</f>
        <v/>
      </c>
      <c r="N196" s="39" t="str">
        <f ca="1">IFERROR(__xludf.DUMMYFUNCTION("""COMPUTED_VALUE"""),"")</f>
        <v/>
      </c>
      <c r="O196" s="39" t="str">
        <f ca="1">IFERROR(__xludf.DUMMYFUNCTION("""COMPUTED_VALUE"""),"")</f>
        <v/>
      </c>
      <c r="P196" s="39" t="str">
        <f ca="1">IFERROR(__xludf.DUMMYFUNCTION("""COMPUTED_VALUE"""),"")</f>
        <v/>
      </c>
      <c r="Q196" s="39" t="str">
        <f ca="1">IFERROR(__xludf.DUMMYFUNCTION("""COMPUTED_VALUE"""),"")</f>
        <v/>
      </c>
      <c r="R196" s="39" t="str">
        <f ca="1">IFERROR(__xludf.DUMMYFUNCTION("""COMPUTED_VALUE"""),"")</f>
        <v/>
      </c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20.25" customHeight="1" x14ac:dyDescent="0.25">
      <c r="A197" s="5"/>
      <c r="B197" s="35"/>
      <c r="C197" s="36"/>
      <c r="D197" s="37"/>
      <c r="E197" s="36"/>
      <c r="F197" s="36"/>
      <c r="G197" s="38" t="str">
        <f ca="1">IFERROR(__xludf.DUMMYFUNCTION("""COMPUTED_VALUE"""),"")</f>
        <v/>
      </c>
      <c r="H197" s="38" t="str">
        <f ca="1">IFERROR(__xludf.DUMMYFUNCTION("""COMPUTED_VALUE"""),"")</f>
        <v/>
      </c>
      <c r="I197" s="38" t="str">
        <f ca="1">IFERROR(__xludf.DUMMYFUNCTION("""COMPUTED_VALUE"""),"")</f>
        <v/>
      </c>
      <c r="J197" s="39" t="str">
        <f ca="1">IFERROR(__xludf.DUMMYFUNCTION("""COMPUTED_VALUE"""),"")</f>
        <v/>
      </c>
      <c r="K197" s="39" t="str">
        <f ca="1">IFERROR(__xludf.DUMMYFUNCTION("""COMPUTED_VALUE"""),"")</f>
        <v/>
      </c>
      <c r="L197" s="39" t="str">
        <f ca="1">IFERROR(__xludf.DUMMYFUNCTION("""COMPUTED_VALUE"""),"")</f>
        <v/>
      </c>
      <c r="M197" s="39" t="str">
        <f ca="1">IFERROR(__xludf.DUMMYFUNCTION("""COMPUTED_VALUE"""),"")</f>
        <v/>
      </c>
      <c r="N197" s="39" t="str">
        <f ca="1">IFERROR(__xludf.DUMMYFUNCTION("""COMPUTED_VALUE"""),"")</f>
        <v/>
      </c>
      <c r="O197" s="39" t="str">
        <f ca="1">IFERROR(__xludf.DUMMYFUNCTION("""COMPUTED_VALUE"""),"")</f>
        <v/>
      </c>
      <c r="P197" s="39" t="str">
        <f ca="1">IFERROR(__xludf.DUMMYFUNCTION("""COMPUTED_VALUE"""),"")</f>
        <v/>
      </c>
      <c r="Q197" s="39" t="str">
        <f ca="1">IFERROR(__xludf.DUMMYFUNCTION("""COMPUTED_VALUE"""),"")</f>
        <v/>
      </c>
      <c r="R197" s="39" t="str">
        <f ca="1">IFERROR(__xludf.DUMMYFUNCTION("""COMPUTED_VALUE"""),"")</f>
        <v/>
      </c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20.25" customHeight="1" x14ac:dyDescent="0.25">
      <c r="A198" s="5"/>
      <c r="B198" s="35"/>
      <c r="C198" s="36"/>
      <c r="D198" s="37"/>
      <c r="E198" s="36"/>
      <c r="F198" s="36"/>
      <c r="G198" s="38" t="str">
        <f ca="1">IFERROR(__xludf.DUMMYFUNCTION("""COMPUTED_VALUE"""),"")</f>
        <v/>
      </c>
      <c r="H198" s="38" t="str">
        <f ca="1">IFERROR(__xludf.DUMMYFUNCTION("""COMPUTED_VALUE"""),"")</f>
        <v/>
      </c>
      <c r="I198" s="38" t="str">
        <f ca="1">IFERROR(__xludf.DUMMYFUNCTION("""COMPUTED_VALUE"""),"")</f>
        <v/>
      </c>
      <c r="J198" s="39" t="str">
        <f ca="1">IFERROR(__xludf.DUMMYFUNCTION("""COMPUTED_VALUE"""),"")</f>
        <v/>
      </c>
      <c r="K198" s="39" t="str">
        <f ca="1">IFERROR(__xludf.DUMMYFUNCTION("""COMPUTED_VALUE"""),"")</f>
        <v/>
      </c>
      <c r="L198" s="39" t="str">
        <f ca="1">IFERROR(__xludf.DUMMYFUNCTION("""COMPUTED_VALUE"""),"")</f>
        <v/>
      </c>
      <c r="M198" s="39" t="str">
        <f ca="1">IFERROR(__xludf.DUMMYFUNCTION("""COMPUTED_VALUE"""),"")</f>
        <v/>
      </c>
      <c r="N198" s="39" t="str">
        <f ca="1">IFERROR(__xludf.DUMMYFUNCTION("""COMPUTED_VALUE"""),"")</f>
        <v/>
      </c>
      <c r="O198" s="39" t="str">
        <f ca="1">IFERROR(__xludf.DUMMYFUNCTION("""COMPUTED_VALUE"""),"")</f>
        <v/>
      </c>
      <c r="P198" s="39" t="str">
        <f ca="1">IFERROR(__xludf.DUMMYFUNCTION("""COMPUTED_VALUE"""),"")</f>
        <v/>
      </c>
      <c r="Q198" s="39" t="str">
        <f ca="1">IFERROR(__xludf.DUMMYFUNCTION("""COMPUTED_VALUE"""),"")</f>
        <v/>
      </c>
      <c r="R198" s="39" t="str">
        <f ca="1">IFERROR(__xludf.DUMMYFUNCTION("""COMPUTED_VALUE"""),"")</f>
        <v/>
      </c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20.25" customHeight="1" x14ac:dyDescent="0.25">
      <c r="A199" s="5"/>
      <c r="B199" s="35"/>
      <c r="C199" s="36"/>
      <c r="D199" s="37"/>
      <c r="E199" s="36"/>
      <c r="F199" s="36"/>
      <c r="G199" s="38" t="str">
        <f ca="1">IFERROR(__xludf.DUMMYFUNCTION("""COMPUTED_VALUE"""),"")</f>
        <v/>
      </c>
      <c r="H199" s="38" t="str">
        <f ca="1">IFERROR(__xludf.DUMMYFUNCTION("""COMPUTED_VALUE"""),"")</f>
        <v/>
      </c>
      <c r="I199" s="38" t="str">
        <f ca="1">IFERROR(__xludf.DUMMYFUNCTION("""COMPUTED_VALUE"""),"")</f>
        <v/>
      </c>
      <c r="J199" s="39" t="str">
        <f ca="1">IFERROR(__xludf.DUMMYFUNCTION("""COMPUTED_VALUE"""),"")</f>
        <v/>
      </c>
      <c r="K199" s="39" t="str">
        <f ca="1">IFERROR(__xludf.DUMMYFUNCTION("""COMPUTED_VALUE"""),"")</f>
        <v/>
      </c>
      <c r="L199" s="39" t="str">
        <f ca="1">IFERROR(__xludf.DUMMYFUNCTION("""COMPUTED_VALUE"""),"")</f>
        <v/>
      </c>
      <c r="M199" s="39" t="str">
        <f ca="1">IFERROR(__xludf.DUMMYFUNCTION("""COMPUTED_VALUE"""),"")</f>
        <v/>
      </c>
      <c r="N199" s="39" t="str">
        <f ca="1">IFERROR(__xludf.DUMMYFUNCTION("""COMPUTED_VALUE"""),"")</f>
        <v/>
      </c>
      <c r="O199" s="39" t="str">
        <f ca="1">IFERROR(__xludf.DUMMYFUNCTION("""COMPUTED_VALUE"""),"")</f>
        <v/>
      </c>
      <c r="P199" s="39" t="str">
        <f ca="1">IFERROR(__xludf.DUMMYFUNCTION("""COMPUTED_VALUE"""),"")</f>
        <v/>
      </c>
      <c r="Q199" s="39" t="str">
        <f ca="1">IFERROR(__xludf.DUMMYFUNCTION("""COMPUTED_VALUE"""),"")</f>
        <v/>
      </c>
      <c r="R199" s="39" t="str">
        <f ca="1">IFERROR(__xludf.DUMMYFUNCTION("""COMPUTED_VALUE"""),"")</f>
        <v/>
      </c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20.25" customHeight="1" x14ac:dyDescent="0.25">
      <c r="A200" s="5"/>
      <c r="B200" s="35"/>
      <c r="C200" s="36"/>
      <c r="D200" s="37"/>
      <c r="E200" s="36"/>
      <c r="F200" s="36"/>
      <c r="G200" s="38" t="str">
        <f ca="1">IFERROR(__xludf.DUMMYFUNCTION("""COMPUTED_VALUE"""),"")</f>
        <v/>
      </c>
      <c r="H200" s="38" t="str">
        <f ca="1">IFERROR(__xludf.DUMMYFUNCTION("""COMPUTED_VALUE"""),"")</f>
        <v/>
      </c>
      <c r="I200" s="38" t="str">
        <f ca="1">IFERROR(__xludf.DUMMYFUNCTION("""COMPUTED_VALUE"""),"")</f>
        <v/>
      </c>
      <c r="J200" s="39" t="str">
        <f ca="1">IFERROR(__xludf.DUMMYFUNCTION("""COMPUTED_VALUE"""),"")</f>
        <v/>
      </c>
      <c r="K200" s="39" t="str">
        <f ca="1">IFERROR(__xludf.DUMMYFUNCTION("""COMPUTED_VALUE"""),"")</f>
        <v/>
      </c>
      <c r="L200" s="39" t="str">
        <f ca="1">IFERROR(__xludf.DUMMYFUNCTION("""COMPUTED_VALUE"""),"")</f>
        <v/>
      </c>
      <c r="M200" s="39" t="str">
        <f ca="1">IFERROR(__xludf.DUMMYFUNCTION("""COMPUTED_VALUE"""),"")</f>
        <v/>
      </c>
      <c r="N200" s="39" t="str">
        <f ca="1">IFERROR(__xludf.DUMMYFUNCTION("""COMPUTED_VALUE"""),"")</f>
        <v/>
      </c>
      <c r="O200" s="39" t="str">
        <f ca="1">IFERROR(__xludf.DUMMYFUNCTION("""COMPUTED_VALUE"""),"")</f>
        <v/>
      </c>
      <c r="P200" s="39" t="str">
        <f ca="1">IFERROR(__xludf.DUMMYFUNCTION("""COMPUTED_VALUE"""),"")</f>
        <v/>
      </c>
      <c r="Q200" s="39" t="str">
        <f ca="1">IFERROR(__xludf.DUMMYFUNCTION("""COMPUTED_VALUE"""),"")</f>
        <v/>
      </c>
      <c r="R200" s="39" t="str">
        <f ca="1">IFERROR(__xludf.DUMMYFUNCTION("""COMPUTED_VALUE"""),"")</f>
        <v/>
      </c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20.25" customHeight="1" x14ac:dyDescent="0.25">
      <c r="A201" s="5"/>
      <c r="B201" s="35"/>
      <c r="C201" s="36"/>
      <c r="D201" s="37"/>
      <c r="E201" s="36"/>
      <c r="F201" s="36"/>
      <c r="G201" s="38" t="str">
        <f ca="1">IFERROR(__xludf.DUMMYFUNCTION("""COMPUTED_VALUE"""),"")</f>
        <v/>
      </c>
      <c r="H201" s="38" t="str">
        <f ca="1">IFERROR(__xludf.DUMMYFUNCTION("""COMPUTED_VALUE"""),"")</f>
        <v/>
      </c>
      <c r="I201" s="38" t="str">
        <f ca="1">IFERROR(__xludf.DUMMYFUNCTION("""COMPUTED_VALUE"""),"")</f>
        <v/>
      </c>
      <c r="J201" s="39" t="str">
        <f ca="1">IFERROR(__xludf.DUMMYFUNCTION("""COMPUTED_VALUE"""),"")</f>
        <v/>
      </c>
      <c r="K201" s="39" t="str">
        <f ca="1">IFERROR(__xludf.DUMMYFUNCTION("""COMPUTED_VALUE"""),"")</f>
        <v/>
      </c>
      <c r="L201" s="39" t="str">
        <f ca="1">IFERROR(__xludf.DUMMYFUNCTION("""COMPUTED_VALUE"""),"")</f>
        <v/>
      </c>
      <c r="M201" s="39" t="str">
        <f ca="1">IFERROR(__xludf.DUMMYFUNCTION("""COMPUTED_VALUE"""),"")</f>
        <v/>
      </c>
      <c r="N201" s="39" t="str">
        <f ca="1">IFERROR(__xludf.DUMMYFUNCTION("""COMPUTED_VALUE"""),"")</f>
        <v/>
      </c>
      <c r="O201" s="39" t="str">
        <f ca="1">IFERROR(__xludf.DUMMYFUNCTION("""COMPUTED_VALUE"""),"")</f>
        <v/>
      </c>
      <c r="P201" s="39" t="str">
        <f ca="1">IFERROR(__xludf.DUMMYFUNCTION("""COMPUTED_VALUE"""),"")</f>
        <v/>
      </c>
      <c r="Q201" s="39" t="str">
        <f ca="1">IFERROR(__xludf.DUMMYFUNCTION("""COMPUTED_VALUE"""),"")</f>
        <v/>
      </c>
      <c r="R201" s="39" t="str">
        <f ca="1">IFERROR(__xludf.DUMMYFUNCTION("""COMPUTED_VALUE"""),"")</f>
        <v/>
      </c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20.25" customHeight="1" x14ac:dyDescent="0.25">
      <c r="A202" s="5"/>
      <c r="B202" s="40"/>
      <c r="C202" s="41"/>
      <c r="D202" s="42"/>
      <c r="E202" s="36"/>
      <c r="F202" s="43"/>
      <c r="G202" s="38" t="str">
        <f ca="1">IFERROR(__xludf.DUMMYFUNCTION("""COMPUTED_VALUE"""),"")</f>
        <v/>
      </c>
      <c r="H202" s="38" t="str">
        <f ca="1">IFERROR(__xludf.DUMMYFUNCTION("""COMPUTED_VALUE"""),"")</f>
        <v/>
      </c>
      <c r="I202" s="38" t="str">
        <f ca="1">IFERROR(__xludf.DUMMYFUNCTION("""COMPUTED_VALUE"""),"")</f>
        <v/>
      </c>
      <c r="J202" s="39" t="str">
        <f ca="1">IFERROR(__xludf.DUMMYFUNCTION("""COMPUTED_VALUE"""),"")</f>
        <v/>
      </c>
      <c r="K202" s="39" t="str">
        <f ca="1">IFERROR(__xludf.DUMMYFUNCTION("""COMPUTED_VALUE"""),"")</f>
        <v/>
      </c>
      <c r="L202" s="39" t="str">
        <f ca="1">IFERROR(__xludf.DUMMYFUNCTION("""COMPUTED_VALUE"""),"")</f>
        <v/>
      </c>
      <c r="M202" s="39" t="str">
        <f ca="1">IFERROR(__xludf.DUMMYFUNCTION("""COMPUTED_VALUE"""),"")</f>
        <v/>
      </c>
      <c r="N202" s="39" t="str">
        <f ca="1">IFERROR(__xludf.DUMMYFUNCTION("""COMPUTED_VALUE"""),"")</f>
        <v/>
      </c>
      <c r="O202" s="39" t="str">
        <f ca="1">IFERROR(__xludf.DUMMYFUNCTION("""COMPUTED_VALUE"""),"")</f>
        <v/>
      </c>
      <c r="P202" s="39" t="str">
        <f ca="1">IFERROR(__xludf.DUMMYFUNCTION("""COMPUTED_VALUE"""),"")</f>
        <v/>
      </c>
      <c r="Q202" s="39" t="str">
        <f ca="1">IFERROR(__xludf.DUMMYFUNCTION("""COMPUTED_VALUE"""),"")</f>
        <v/>
      </c>
      <c r="R202" s="39" t="str">
        <f ca="1">IFERROR(__xludf.DUMMYFUNCTION("""COMPUTED_VALUE"""),"")</f>
        <v/>
      </c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3.2" x14ac:dyDescent="0.25">
      <c r="A203" s="5"/>
      <c r="B203" s="5"/>
      <c r="C203" s="5"/>
      <c r="D203" s="27"/>
      <c r="E203" s="5"/>
      <c r="F203" s="5"/>
      <c r="G203" s="44"/>
      <c r="H203" s="44"/>
      <c r="I203" s="44"/>
      <c r="J203" s="5"/>
      <c r="K203" s="5"/>
      <c r="L203" s="5"/>
      <c r="M203" s="5"/>
      <c r="N203" s="44"/>
      <c r="O203" s="5"/>
      <c r="P203" s="5"/>
      <c r="Q203" s="5"/>
      <c r="R203" s="4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3.2" x14ac:dyDescent="0.25">
      <c r="A204" s="5"/>
      <c r="B204" s="5"/>
      <c r="C204" s="5"/>
      <c r="D204" s="27"/>
      <c r="E204" s="5"/>
      <c r="F204" s="5"/>
      <c r="G204" s="44"/>
      <c r="H204" s="44"/>
      <c r="I204" s="44"/>
      <c r="J204" s="5"/>
      <c r="K204" s="5"/>
      <c r="L204" s="5"/>
      <c r="M204" s="5"/>
      <c r="N204" s="44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3.2" x14ac:dyDescent="0.25">
      <c r="A205" s="5"/>
      <c r="B205" s="5"/>
      <c r="C205" s="5"/>
      <c r="D205" s="27"/>
      <c r="E205" s="5"/>
      <c r="F205" s="5"/>
      <c r="G205" s="44"/>
      <c r="H205" s="44"/>
      <c r="I205" s="44"/>
      <c r="J205" s="5"/>
      <c r="K205" s="5"/>
      <c r="L205" s="5"/>
      <c r="M205" s="5"/>
      <c r="N205" s="44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3.2" x14ac:dyDescent="0.25">
      <c r="A206" s="5"/>
      <c r="B206" s="5"/>
      <c r="C206" s="5"/>
      <c r="D206" s="27"/>
      <c r="E206" s="5"/>
      <c r="F206" s="5"/>
      <c r="G206" s="44"/>
      <c r="H206" s="44"/>
      <c r="I206" s="44"/>
      <c r="J206" s="5"/>
      <c r="K206" s="5"/>
      <c r="L206" s="5"/>
      <c r="M206" s="5"/>
      <c r="N206" s="44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3.2" x14ac:dyDescent="0.25">
      <c r="A207" s="5"/>
      <c r="B207" s="5"/>
      <c r="C207" s="5"/>
      <c r="D207" s="27"/>
      <c r="E207" s="5"/>
      <c r="F207" s="5"/>
      <c r="G207" s="44"/>
      <c r="H207" s="44"/>
      <c r="I207" s="44"/>
      <c r="J207" s="5"/>
      <c r="K207" s="5"/>
      <c r="L207" s="5"/>
      <c r="M207" s="5"/>
      <c r="N207" s="44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3.2" x14ac:dyDescent="0.25">
      <c r="A208" s="5"/>
      <c r="B208" s="5"/>
      <c r="C208" s="5"/>
      <c r="D208" s="27"/>
      <c r="E208" s="5"/>
      <c r="F208" s="5"/>
      <c r="G208" s="44"/>
      <c r="H208" s="44"/>
      <c r="I208" s="44"/>
      <c r="J208" s="5"/>
      <c r="K208" s="5"/>
      <c r="L208" s="5"/>
      <c r="M208" s="5"/>
      <c r="N208" s="44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3.2" x14ac:dyDescent="0.25">
      <c r="A209" s="5"/>
      <c r="B209" s="5"/>
      <c r="C209" s="5"/>
      <c r="D209" s="27"/>
      <c r="E209" s="5"/>
      <c r="F209" s="5"/>
      <c r="G209" s="44"/>
      <c r="H209" s="44"/>
      <c r="I209" s="44"/>
      <c r="J209" s="5"/>
      <c r="K209" s="5"/>
      <c r="L209" s="5"/>
      <c r="M209" s="5"/>
      <c r="N209" s="44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3.2" x14ac:dyDescent="0.25">
      <c r="A210" s="5"/>
      <c r="B210" s="5"/>
      <c r="C210" s="5"/>
      <c r="D210" s="27"/>
      <c r="E210" s="5"/>
      <c r="F210" s="5"/>
      <c r="G210" s="44"/>
      <c r="H210" s="44"/>
      <c r="I210" s="44"/>
      <c r="J210" s="5"/>
      <c r="K210" s="5"/>
      <c r="L210" s="5"/>
      <c r="M210" s="5"/>
      <c r="N210" s="44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</sheetData>
  <autoFilter ref="B6:R202" xr:uid="{00000000-0009-0000-0000-000003000000}"/>
  <mergeCells count="4">
    <mergeCell ref="C4:F4"/>
    <mergeCell ref="B5:F5"/>
    <mergeCell ref="G5:M5"/>
    <mergeCell ref="N5:R5"/>
  </mergeCells>
  <conditionalFormatting sqref="J7:M202 R203">
    <cfRule type="cellIs" dxfId="1" priority="1" operator="greaterThan">
      <formula>0</formula>
    </cfRule>
  </conditionalFormatting>
  <dataValidations count="3">
    <dataValidation type="list" allowBlank="1" showErrorMessage="1" sqref="F7:F202" xr:uid="{00000000-0002-0000-0300-000000000000}">
      <formula1>"Panel 1,Panel 2,Panel 3,Panel 4,Panel 5,Panel 6"</formula1>
    </dataValidation>
    <dataValidation type="list" allowBlank="1" sqref="D7:D202" xr:uid="{00000000-0002-0000-0300-000001000000}">
      <formula1>"College Staff,Academic Staff,Non Academic Staff"</formula1>
    </dataValidation>
    <dataValidation type="list" allowBlank="1" showErrorMessage="1" sqref="E7:E202" xr:uid="{00000000-0002-0000-0300-000002000000}">
      <formula1>"Station 1,Station 2,Station 3,Station 4,Station 5,Station 6,Station 7,Station 8,Station 9,Station 10,Station 11,Station 12,Station 13,Station 14,Station 15,Station 16"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69138"/>
    <outlinePr summaryBelow="0" summaryRight="0"/>
  </sheetPr>
  <dimension ref="A1:BI246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98" sqref="D6:D98"/>
    </sheetView>
  </sheetViews>
  <sheetFormatPr defaultColWidth="12.6640625" defaultRowHeight="15.75" customHeight="1" x14ac:dyDescent="0.25"/>
  <cols>
    <col min="1" max="1" width="3.88671875" customWidth="1"/>
    <col min="2" max="2" width="13.88671875" customWidth="1"/>
    <col min="3" max="3" width="35.109375" customWidth="1"/>
    <col min="4" max="4" width="12.88671875" customWidth="1"/>
    <col min="5" max="5" width="13.33203125" customWidth="1"/>
    <col min="7" max="7" width="18.88671875" customWidth="1"/>
    <col min="8" max="8" width="16.77734375" customWidth="1"/>
    <col min="9" max="9" width="12" customWidth="1"/>
    <col min="10" max="10" width="13.44140625" customWidth="1"/>
    <col min="11" max="12" width="15.44140625" customWidth="1"/>
    <col min="13" max="14" width="10.21875" customWidth="1"/>
    <col min="15" max="15" width="19.109375" customWidth="1"/>
    <col min="16" max="17" width="10.6640625" customWidth="1"/>
    <col min="18" max="18" width="19.109375" customWidth="1"/>
    <col min="19" max="19" width="11.77734375" customWidth="1"/>
    <col min="20" max="20" width="9.44140625" customWidth="1"/>
    <col min="21" max="21" width="19.109375" customWidth="1"/>
    <col min="22" max="22" width="11.77734375" customWidth="1"/>
    <col min="23" max="23" width="9.21875" customWidth="1"/>
    <col min="24" max="24" width="19.109375" customWidth="1"/>
    <col min="25" max="25" width="11.77734375" customWidth="1"/>
    <col min="26" max="26" width="9" customWidth="1"/>
    <col min="27" max="27" width="19.109375" customWidth="1"/>
    <col min="28" max="28" width="11.77734375" customWidth="1"/>
    <col min="29" max="29" width="9.109375" customWidth="1"/>
    <col min="30" max="30" width="19.109375" customWidth="1"/>
    <col min="31" max="31" width="11.77734375" customWidth="1"/>
    <col min="32" max="32" width="8.77734375" customWidth="1"/>
    <col min="33" max="33" width="19.109375" customWidth="1"/>
    <col min="34" max="34" width="11.77734375" customWidth="1"/>
    <col min="35" max="35" width="8.88671875" customWidth="1"/>
    <col min="36" max="36" width="19.109375" customWidth="1"/>
    <col min="37" max="37" width="11.77734375" customWidth="1"/>
    <col min="38" max="38" width="8.109375" customWidth="1"/>
    <col min="39" max="39" width="19.109375" customWidth="1"/>
    <col min="40" max="40" width="11.77734375" customWidth="1"/>
    <col min="41" max="41" width="9.21875" customWidth="1"/>
    <col min="42" max="42" width="19.109375" customWidth="1"/>
    <col min="43" max="43" width="11.77734375" customWidth="1"/>
    <col min="44" max="44" width="8.21875" customWidth="1"/>
    <col min="45" max="45" width="19.109375" customWidth="1"/>
    <col min="46" max="46" width="11.77734375" customWidth="1"/>
    <col min="47" max="47" width="8.88671875" customWidth="1"/>
    <col min="48" max="48" width="19.109375" customWidth="1"/>
    <col min="49" max="49" width="12.21875" customWidth="1"/>
    <col min="50" max="50" width="12.33203125" customWidth="1"/>
    <col min="51" max="51" width="19.109375" customWidth="1"/>
    <col min="52" max="52" width="11.6640625" customWidth="1"/>
    <col min="53" max="53" width="10.109375" customWidth="1"/>
    <col min="54" max="54" width="19.109375" customWidth="1"/>
    <col min="55" max="55" width="13.21875" customWidth="1"/>
    <col min="56" max="56" width="10.88671875" customWidth="1"/>
    <col min="57" max="57" width="19.109375" customWidth="1"/>
    <col min="58" max="58" width="13.33203125" customWidth="1"/>
    <col min="59" max="59" width="9.6640625" customWidth="1"/>
    <col min="60" max="60" width="19.109375" customWidth="1"/>
    <col min="61" max="61" width="5.44140625" customWidth="1"/>
  </cols>
  <sheetData>
    <row r="1" spans="1:61" ht="13.8" x14ac:dyDescent="0.25">
      <c r="A1" s="46" t="str">
        <f ca="1">IFERROR(__xludf.DUMMYFUNCTION("IFERROR(IMPORTRANGE('System Setup'!AF4,""OSCE Detail Result !A1:BI""))"),"")</f>
        <v/>
      </c>
      <c r="B1" s="46"/>
      <c r="C1" s="46"/>
      <c r="D1" s="46"/>
      <c r="E1" s="46"/>
      <c r="F1" s="46"/>
      <c r="G1" s="47" t="str">
        <f ca="1">IFERROR(__xludf.DUMMYFUNCTION("""COMPUTED_VALUE"""),"Type of Pass")</f>
        <v>Type of Pass</v>
      </c>
      <c r="H1" s="48" t="str">
        <f ca="1">IFERROR(__xludf.DUMMYFUNCTION("""COMPUTED_VALUE"""),"Pass Persentge ")</f>
        <v xml:space="preserve">Pass Persentge </v>
      </c>
      <c r="I1" s="49" t="str">
        <f ca="1">IFERROR(__xludf.DUMMYFUNCTION("""COMPUTED_VALUE"""),"Total Mark")</f>
        <v>Total Mark</v>
      </c>
      <c r="J1" s="50"/>
      <c r="K1" s="51"/>
      <c r="L1" s="52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46"/>
    </row>
    <row r="2" spans="1:61" ht="13.8" x14ac:dyDescent="0.25">
      <c r="A2" s="46"/>
      <c r="B2" s="46"/>
      <c r="C2" s="46"/>
      <c r="D2" s="46"/>
      <c r="E2" s="46"/>
      <c r="F2" s="46"/>
      <c r="G2" s="54" t="str">
        <f ca="1">IFERROR(__xludf.DUMMYFUNCTION("""COMPUTED_VALUE"""),"By Percentage")</f>
        <v>By Percentage</v>
      </c>
      <c r="H2" s="55">
        <f ca="1">IFERROR(__xludf.DUMMYFUNCTION("""COMPUTED_VALUE"""),0.6)</f>
        <v>0.6</v>
      </c>
      <c r="I2" s="56">
        <f ca="1">IFERROR(__xludf.DUMMYFUNCTION("""COMPUTED_VALUE"""),23.9999999999999)</f>
        <v>23.999999999999901</v>
      </c>
      <c r="J2" s="57" t="str">
        <f ca="1">IFERROR(__xludf.DUMMYFUNCTION("""COMPUTED_VALUE"""),"No. of Station ")</f>
        <v xml:space="preserve">No. of Station </v>
      </c>
      <c r="K2" s="239">
        <f ca="1">IFERROR(__xludf.DUMMYFUNCTION("""COMPUTED_VALUE"""),10)</f>
        <v>10</v>
      </c>
      <c r="L2" s="219"/>
      <c r="M2" s="240" t="str">
        <f ca="1">IFERROR(__xludf.DUMMYFUNCTION("""COMPUTED_VALUE"""),"Station 1")</f>
        <v>Station 1</v>
      </c>
      <c r="N2" s="218"/>
      <c r="O2" s="219"/>
      <c r="P2" s="238" t="str">
        <f ca="1">IFERROR(__xludf.DUMMYFUNCTION("""COMPUTED_VALUE"""),"Station 2")</f>
        <v>Station 2</v>
      </c>
      <c r="Q2" s="218"/>
      <c r="R2" s="219"/>
      <c r="S2" s="238" t="str">
        <f ca="1">IFERROR(__xludf.DUMMYFUNCTION("""COMPUTED_VALUE"""),"Station 3")</f>
        <v>Station 3</v>
      </c>
      <c r="T2" s="218"/>
      <c r="U2" s="219"/>
      <c r="V2" s="238" t="str">
        <f ca="1">IFERROR(__xludf.DUMMYFUNCTION("""COMPUTED_VALUE"""),"Station 4")</f>
        <v>Station 4</v>
      </c>
      <c r="W2" s="218"/>
      <c r="X2" s="219"/>
      <c r="Y2" s="238" t="str">
        <f ca="1">IFERROR(__xludf.DUMMYFUNCTION("""COMPUTED_VALUE"""),"Station 5")</f>
        <v>Station 5</v>
      </c>
      <c r="Z2" s="218"/>
      <c r="AA2" s="219"/>
      <c r="AB2" s="238" t="str">
        <f ca="1">IFERROR(__xludf.DUMMYFUNCTION("""COMPUTED_VALUE"""),"Station 6")</f>
        <v>Station 6</v>
      </c>
      <c r="AC2" s="218"/>
      <c r="AD2" s="219"/>
      <c r="AE2" s="238" t="str">
        <f ca="1">IFERROR(__xludf.DUMMYFUNCTION("""COMPUTED_VALUE"""),"Station 7")</f>
        <v>Station 7</v>
      </c>
      <c r="AF2" s="218"/>
      <c r="AG2" s="219"/>
      <c r="AH2" s="238" t="str">
        <f ca="1">IFERROR(__xludf.DUMMYFUNCTION("""COMPUTED_VALUE"""),"Station 8")</f>
        <v>Station 8</v>
      </c>
      <c r="AI2" s="218"/>
      <c r="AJ2" s="219"/>
      <c r="AK2" s="238" t="str">
        <f ca="1">IFERROR(__xludf.DUMMYFUNCTION("""COMPUTED_VALUE"""),"Station 9")</f>
        <v>Station 9</v>
      </c>
      <c r="AL2" s="218"/>
      <c r="AM2" s="219"/>
      <c r="AN2" s="238" t="str">
        <f ca="1">IFERROR(__xludf.DUMMYFUNCTION("""COMPUTED_VALUE"""),"Station 10")</f>
        <v>Station 10</v>
      </c>
      <c r="AO2" s="218"/>
      <c r="AP2" s="219"/>
      <c r="AQ2" s="238" t="str">
        <f ca="1">IFERROR(__xludf.DUMMYFUNCTION("""COMPUTED_VALUE"""),"Station 11")</f>
        <v>Station 11</v>
      </c>
      <c r="AR2" s="218"/>
      <c r="AS2" s="219"/>
      <c r="AT2" s="238" t="str">
        <f ca="1">IFERROR(__xludf.DUMMYFUNCTION("""COMPUTED_VALUE"""),"Station 12")</f>
        <v>Station 12</v>
      </c>
      <c r="AU2" s="218"/>
      <c r="AV2" s="219"/>
      <c r="AW2" s="238" t="str">
        <f ca="1">IFERROR(__xludf.DUMMYFUNCTION("""COMPUTED_VALUE"""),"Station 13")</f>
        <v>Station 13</v>
      </c>
      <c r="AX2" s="218"/>
      <c r="AY2" s="219"/>
      <c r="AZ2" s="238" t="str">
        <f ca="1">IFERROR(__xludf.DUMMYFUNCTION("""COMPUTED_VALUE"""),"Station 14")</f>
        <v>Station 14</v>
      </c>
      <c r="BA2" s="218"/>
      <c r="BB2" s="219"/>
      <c r="BC2" s="238" t="str">
        <f ca="1">IFERROR(__xludf.DUMMYFUNCTION("""COMPUTED_VALUE"""),"Station 15")</f>
        <v>Station 15</v>
      </c>
      <c r="BD2" s="218"/>
      <c r="BE2" s="219"/>
      <c r="BF2" s="238" t="str">
        <f ca="1">IFERROR(__xludf.DUMMYFUNCTION("""COMPUTED_VALUE"""),"Station 16")</f>
        <v>Station 16</v>
      </c>
      <c r="BG2" s="218"/>
      <c r="BH2" s="219"/>
      <c r="BI2" s="46"/>
    </row>
    <row r="3" spans="1:61" ht="22.5" customHeight="1" x14ac:dyDescent="0.25">
      <c r="A3" s="46"/>
      <c r="B3" s="257" t="str">
        <f ca="1">IFERROR(__xludf.DUMMYFUNCTION("""COMPUTED_VALUE"""),"Student ID ")</f>
        <v xml:space="preserve">Student ID </v>
      </c>
      <c r="C3" s="255" t="str">
        <f ca="1">IFERROR(__xludf.DUMMYFUNCTION("""COMPUTED_VALUE"""),"Student Name")</f>
        <v>Student Name</v>
      </c>
      <c r="D3" s="255" t="str">
        <f ca="1">IFERROR(__xludf.DUMMYFUNCTION("""COMPUTED_VALUE"""),"Gender ")</f>
        <v xml:space="preserve">Gender </v>
      </c>
      <c r="E3" s="255" t="str">
        <f ca="1">IFERROR(__xludf.DUMMYFUNCTION("""COMPUTED_VALUE"""),"Group ")</f>
        <v xml:space="preserve">Group </v>
      </c>
      <c r="F3" s="259" t="str">
        <f ca="1">IFERROR(__xludf.DUMMYFUNCTION("""COMPUTED_VALUE"""),"GPA")</f>
        <v>GPA</v>
      </c>
      <c r="G3" s="262" t="str">
        <f ca="1">IFERROR(__xludf.DUMMYFUNCTION("""COMPUTED_VALUE"""),"No. of Not Taken Station ")</f>
        <v xml:space="preserve">No. of Not Taken Station </v>
      </c>
      <c r="H3" s="263" t="str">
        <f ca="1">IFERROR(__xludf.DUMMYFUNCTION("""COMPUTED_VALUE"""),"No. of Examin Station")</f>
        <v>No. of Examin Station</v>
      </c>
      <c r="I3" s="268" t="str">
        <f ca="1">IFERROR(__xludf.DUMMYFUNCTION("""COMPUTED_VALUE"""),"No. of Station Failed ")</f>
        <v xml:space="preserve">No. of Station Failed </v>
      </c>
      <c r="J3" s="58" t="str">
        <f ca="1">IFERROR(__xludf.DUMMYFUNCTION("""COMPUTED_VALUE"""),"Station")</f>
        <v>Station</v>
      </c>
      <c r="K3" s="235" t="str">
        <f ca="1">IFERROR(__xludf.DUMMYFUNCTION("""COMPUTED_VALUE"""),"Total Mark ")</f>
        <v xml:space="preserve">Total Mark </v>
      </c>
      <c r="L3" s="59" t="str">
        <f ca="1">IFERROR(__xludf.DUMMYFUNCTION("""COMPUTED_VALUE"""),"Minimum No. of Pass Station")</f>
        <v>Minimum No. of Pass Station</v>
      </c>
      <c r="M3" s="60" t="str">
        <f ca="1">IFERROR(__xludf.DUMMYFUNCTION("""COMPUTED_VALUE"""),"Pass Mandatory")</f>
        <v>Pass Mandatory</v>
      </c>
      <c r="N3" s="227" t="str">
        <f ca="1">IFERROR(__xludf.DUMMYFUNCTION("""COMPUTED_VALUE"""),"Over All ")</f>
        <v xml:space="preserve">Over All </v>
      </c>
      <c r="O3" s="61" t="str">
        <f ca="1">IFERROR(__xludf.DUMMYFUNCTION("""COMPUTED_VALUE"""),"Station Pass %")</f>
        <v>Station Pass %</v>
      </c>
      <c r="P3" s="62" t="str">
        <f ca="1">IFERROR(__xludf.DUMMYFUNCTION("""COMPUTED_VALUE"""),"Pass Mandatory")</f>
        <v>Pass Mandatory</v>
      </c>
      <c r="Q3" s="227" t="str">
        <f ca="1">IFERROR(__xludf.DUMMYFUNCTION("""COMPUTED_VALUE"""),"Over All ")</f>
        <v xml:space="preserve">Over All </v>
      </c>
      <c r="R3" s="61" t="str">
        <f ca="1">IFERROR(__xludf.DUMMYFUNCTION("""COMPUTED_VALUE"""),"Station Pass %")</f>
        <v>Station Pass %</v>
      </c>
      <c r="S3" s="62" t="str">
        <f ca="1">IFERROR(__xludf.DUMMYFUNCTION("""COMPUTED_VALUE"""),"Pass Mandatory")</f>
        <v>Pass Mandatory</v>
      </c>
      <c r="T3" s="227" t="str">
        <f ca="1">IFERROR(__xludf.DUMMYFUNCTION("""COMPUTED_VALUE"""),"Over All ")</f>
        <v xml:space="preserve">Over All </v>
      </c>
      <c r="U3" s="61" t="str">
        <f ca="1">IFERROR(__xludf.DUMMYFUNCTION("""COMPUTED_VALUE"""),"Station Pass %")</f>
        <v>Station Pass %</v>
      </c>
      <c r="V3" s="62" t="str">
        <f ca="1">IFERROR(__xludf.DUMMYFUNCTION("""COMPUTED_VALUE"""),"Pass Mandatory")</f>
        <v>Pass Mandatory</v>
      </c>
      <c r="W3" s="227" t="str">
        <f ca="1">IFERROR(__xludf.DUMMYFUNCTION("""COMPUTED_VALUE"""),"Over All ")</f>
        <v xml:space="preserve">Over All </v>
      </c>
      <c r="X3" s="61" t="str">
        <f ca="1">IFERROR(__xludf.DUMMYFUNCTION("""COMPUTED_VALUE"""),"Station Pass %")</f>
        <v>Station Pass %</v>
      </c>
      <c r="Y3" s="62" t="str">
        <f ca="1">IFERROR(__xludf.DUMMYFUNCTION("""COMPUTED_VALUE"""),"Pass Mandatory")</f>
        <v>Pass Mandatory</v>
      </c>
      <c r="Z3" s="227" t="str">
        <f ca="1">IFERROR(__xludf.DUMMYFUNCTION("""COMPUTED_VALUE"""),"Over All ")</f>
        <v xml:space="preserve">Over All </v>
      </c>
      <c r="AA3" s="61" t="str">
        <f ca="1">IFERROR(__xludf.DUMMYFUNCTION("""COMPUTED_VALUE"""),"Station Pass %")</f>
        <v>Station Pass %</v>
      </c>
      <c r="AB3" s="62" t="str">
        <f ca="1">IFERROR(__xludf.DUMMYFUNCTION("""COMPUTED_VALUE"""),"Pass Mandatory")</f>
        <v>Pass Mandatory</v>
      </c>
      <c r="AC3" s="227" t="str">
        <f ca="1">IFERROR(__xludf.DUMMYFUNCTION("""COMPUTED_VALUE"""),"Over All ")</f>
        <v xml:space="preserve">Over All </v>
      </c>
      <c r="AD3" s="61" t="str">
        <f ca="1">IFERROR(__xludf.DUMMYFUNCTION("""COMPUTED_VALUE"""),"Station Pass %")</f>
        <v>Station Pass %</v>
      </c>
      <c r="AE3" s="62" t="str">
        <f ca="1">IFERROR(__xludf.DUMMYFUNCTION("""COMPUTED_VALUE"""),"Pass Mandatory")</f>
        <v>Pass Mandatory</v>
      </c>
      <c r="AF3" s="227" t="str">
        <f ca="1">IFERROR(__xludf.DUMMYFUNCTION("""COMPUTED_VALUE"""),"Over All ")</f>
        <v xml:space="preserve">Over All </v>
      </c>
      <c r="AG3" s="61" t="str">
        <f ca="1">IFERROR(__xludf.DUMMYFUNCTION("""COMPUTED_VALUE"""),"Station Pass %")</f>
        <v>Station Pass %</v>
      </c>
      <c r="AH3" s="62" t="str">
        <f ca="1">IFERROR(__xludf.DUMMYFUNCTION("""COMPUTED_VALUE"""),"Pass Mandatory")</f>
        <v>Pass Mandatory</v>
      </c>
      <c r="AI3" s="227" t="str">
        <f ca="1">IFERROR(__xludf.DUMMYFUNCTION("""COMPUTED_VALUE"""),"Over All ")</f>
        <v xml:space="preserve">Over All </v>
      </c>
      <c r="AJ3" s="61" t="str">
        <f ca="1">IFERROR(__xludf.DUMMYFUNCTION("""COMPUTED_VALUE"""),"Station Pass %")</f>
        <v>Station Pass %</v>
      </c>
      <c r="AK3" s="62" t="str">
        <f ca="1">IFERROR(__xludf.DUMMYFUNCTION("""COMPUTED_VALUE"""),"Pass Mandatory")</f>
        <v>Pass Mandatory</v>
      </c>
      <c r="AL3" s="227" t="str">
        <f ca="1">IFERROR(__xludf.DUMMYFUNCTION("""COMPUTED_VALUE"""),"Over All ")</f>
        <v xml:space="preserve">Over All </v>
      </c>
      <c r="AM3" s="61" t="str">
        <f ca="1">IFERROR(__xludf.DUMMYFUNCTION("""COMPUTED_VALUE"""),"Station Pass %")</f>
        <v>Station Pass %</v>
      </c>
      <c r="AN3" s="62" t="str">
        <f ca="1">IFERROR(__xludf.DUMMYFUNCTION("""COMPUTED_VALUE"""),"Pass Mandatory")</f>
        <v>Pass Mandatory</v>
      </c>
      <c r="AO3" s="227" t="str">
        <f ca="1">IFERROR(__xludf.DUMMYFUNCTION("""COMPUTED_VALUE"""),"Over All ")</f>
        <v xml:space="preserve">Over All </v>
      </c>
      <c r="AP3" s="61" t="str">
        <f ca="1">IFERROR(__xludf.DUMMYFUNCTION("""COMPUTED_VALUE"""),"Station Pass %")</f>
        <v>Station Pass %</v>
      </c>
      <c r="AQ3" s="62" t="str">
        <f ca="1">IFERROR(__xludf.DUMMYFUNCTION("""COMPUTED_VALUE"""),"Pass Mandatory")</f>
        <v>Pass Mandatory</v>
      </c>
      <c r="AR3" s="227" t="str">
        <f ca="1">IFERROR(__xludf.DUMMYFUNCTION("""COMPUTED_VALUE"""),"Over All ")</f>
        <v xml:space="preserve">Over All </v>
      </c>
      <c r="AS3" s="61" t="str">
        <f ca="1">IFERROR(__xludf.DUMMYFUNCTION("""COMPUTED_VALUE"""),"Station Pass %")</f>
        <v>Station Pass %</v>
      </c>
      <c r="AT3" s="62" t="str">
        <f ca="1">IFERROR(__xludf.DUMMYFUNCTION("""COMPUTED_VALUE"""),"Pass Mandatory")</f>
        <v>Pass Mandatory</v>
      </c>
      <c r="AU3" s="227" t="str">
        <f ca="1">IFERROR(__xludf.DUMMYFUNCTION("""COMPUTED_VALUE"""),"Over All ")</f>
        <v xml:space="preserve">Over All </v>
      </c>
      <c r="AV3" s="61" t="str">
        <f ca="1">IFERROR(__xludf.DUMMYFUNCTION("""COMPUTED_VALUE"""),"Station Pass %")</f>
        <v>Station Pass %</v>
      </c>
      <c r="AW3" s="62" t="str">
        <f ca="1">IFERROR(__xludf.DUMMYFUNCTION("""COMPUTED_VALUE"""),"Pass Mandatory")</f>
        <v>Pass Mandatory</v>
      </c>
      <c r="AX3" s="227" t="str">
        <f ca="1">IFERROR(__xludf.DUMMYFUNCTION("""COMPUTED_VALUE"""),"Over All ")</f>
        <v xml:space="preserve">Over All </v>
      </c>
      <c r="AY3" s="61" t="str">
        <f ca="1">IFERROR(__xludf.DUMMYFUNCTION("""COMPUTED_VALUE"""),"Station Pass %")</f>
        <v>Station Pass %</v>
      </c>
      <c r="AZ3" s="62" t="str">
        <f ca="1">IFERROR(__xludf.DUMMYFUNCTION("""COMPUTED_VALUE"""),"Pass Mandatory")</f>
        <v>Pass Mandatory</v>
      </c>
      <c r="BA3" s="227" t="str">
        <f ca="1">IFERROR(__xludf.DUMMYFUNCTION("""COMPUTED_VALUE"""),"Over All ")</f>
        <v xml:space="preserve">Over All </v>
      </c>
      <c r="BB3" s="61" t="str">
        <f ca="1">IFERROR(__xludf.DUMMYFUNCTION("""COMPUTED_VALUE"""),"Station Pass %")</f>
        <v>Station Pass %</v>
      </c>
      <c r="BC3" s="62" t="str">
        <f ca="1">IFERROR(__xludf.DUMMYFUNCTION("""COMPUTED_VALUE"""),"Pass Mandatory")</f>
        <v>Pass Mandatory</v>
      </c>
      <c r="BD3" s="227" t="str">
        <f ca="1">IFERROR(__xludf.DUMMYFUNCTION("""COMPUTED_VALUE"""),"Over All ")</f>
        <v xml:space="preserve">Over All </v>
      </c>
      <c r="BE3" s="61" t="str">
        <f ca="1">IFERROR(__xludf.DUMMYFUNCTION("""COMPUTED_VALUE"""),"Station Pass %")</f>
        <v>Station Pass %</v>
      </c>
      <c r="BF3" s="62" t="str">
        <f ca="1">IFERROR(__xludf.DUMMYFUNCTION("""COMPUTED_VALUE"""),"Pass Mandatory")</f>
        <v>Pass Mandatory</v>
      </c>
      <c r="BG3" s="227" t="str">
        <f ca="1">IFERROR(__xludf.DUMMYFUNCTION("""COMPUTED_VALUE"""),"Over All ")</f>
        <v xml:space="preserve">Over All </v>
      </c>
      <c r="BH3" s="61" t="str">
        <f ca="1">IFERROR(__xludf.DUMMYFUNCTION("""COMPUTED_VALUE"""),"Station Pass %")</f>
        <v>Station Pass %</v>
      </c>
      <c r="BI3" s="63"/>
    </row>
    <row r="4" spans="1:61" ht="21.75" customHeight="1" x14ac:dyDescent="0.25">
      <c r="A4" s="46"/>
      <c r="B4" s="236"/>
      <c r="C4" s="228"/>
      <c r="D4" s="228"/>
      <c r="E4" s="228"/>
      <c r="F4" s="260"/>
      <c r="G4" s="228"/>
      <c r="H4" s="264"/>
      <c r="I4" s="228"/>
      <c r="J4" s="64" t="str">
        <f ca="1">IFERROR(__xludf.DUMMYFUNCTION("""COMPUTED_VALUE"""),"Pass %")</f>
        <v>Pass %</v>
      </c>
      <c r="K4" s="236"/>
      <c r="L4" s="65"/>
      <c r="M4" s="66" t="b">
        <f ca="1">IFERROR(__xludf.DUMMYFUNCTION("""COMPUTED_VALUE"""),FALSE)</f>
        <v>0</v>
      </c>
      <c r="N4" s="228"/>
      <c r="O4" s="67">
        <f ca="1">IFERROR(__xludf.DUMMYFUNCTION("""COMPUTED_VALUE"""),0.6)</f>
        <v>0.6</v>
      </c>
      <c r="P4" s="68" t="b">
        <f ca="1">IFERROR(__xludf.DUMMYFUNCTION("""COMPUTED_VALUE"""),FALSE)</f>
        <v>0</v>
      </c>
      <c r="Q4" s="228"/>
      <c r="R4" s="69">
        <f ca="1">IFERROR(__xludf.DUMMYFUNCTION("""COMPUTED_VALUE"""),0.6)</f>
        <v>0.6</v>
      </c>
      <c r="S4" s="68" t="b">
        <f ca="1">IFERROR(__xludf.DUMMYFUNCTION("""COMPUTED_VALUE"""),FALSE)</f>
        <v>0</v>
      </c>
      <c r="T4" s="228"/>
      <c r="U4" s="69">
        <f ca="1">IFERROR(__xludf.DUMMYFUNCTION("""COMPUTED_VALUE"""),0.6)</f>
        <v>0.6</v>
      </c>
      <c r="V4" s="68" t="b">
        <f ca="1">IFERROR(__xludf.DUMMYFUNCTION("""COMPUTED_VALUE"""),FALSE)</f>
        <v>0</v>
      </c>
      <c r="W4" s="228"/>
      <c r="X4" s="69">
        <f ca="1">IFERROR(__xludf.DUMMYFUNCTION("""COMPUTED_VALUE"""),0.6)</f>
        <v>0.6</v>
      </c>
      <c r="Y4" s="68" t="b">
        <f ca="1">IFERROR(__xludf.DUMMYFUNCTION("""COMPUTED_VALUE"""),FALSE)</f>
        <v>0</v>
      </c>
      <c r="Z4" s="228"/>
      <c r="AA4" s="69">
        <f ca="1">IFERROR(__xludf.DUMMYFUNCTION("""COMPUTED_VALUE"""),0.6)</f>
        <v>0.6</v>
      </c>
      <c r="AB4" s="68" t="b">
        <f ca="1">IFERROR(__xludf.DUMMYFUNCTION("""COMPUTED_VALUE"""),FALSE)</f>
        <v>0</v>
      </c>
      <c r="AC4" s="228"/>
      <c r="AD4" s="69">
        <f ca="1">IFERROR(__xludf.DUMMYFUNCTION("""COMPUTED_VALUE"""),0.6)</f>
        <v>0.6</v>
      </c>
      <c r="AE4" s="68" t="b">
        <f ca="1">IFERROR(__xludf.DUMMYFUNCTION("""COMPUTED_VALUE"""),FALSE)</f>
        <v>0</v>
      </c>
      <c r="AF4" s="228"/>
      <c r="AG4" s="67">
        <f ca="1">IFERROR(__xludf.DUMMYFUNCTION("""COMPUTED_VALUE"""),0.6)</f>
        <v>0.6</v>
      </c>
      <c r="AH4" s="68" t="b">
        <f ca="1">IFERROR(__xludf.DUMMYFUNCTION("""COMPUTED_VALUE"""),FALSE)</f>
        <v>0</v>
      </c>
      <c r="AI4" s="228"/>
      <c r="AJ4" s="67">
        <f ca="1">IFERROR(__xludf.DUMMYFUNCTION("""COMPUTED_VALUE"""),0.6)</f>
        <v>0.6</v>
      </c>
      <c r="AK4" s="68" t="b">
        <f ca="1">IFERROR(__xludf.DUMMYFUNCTION("""COMPUTED_VALUE"""),FALSE)</f>
        <v>0</v>
      </c>
      <c r="AL4" s="228"/>
      <c r="AM4" s="67">
        <f ca="1">IFERROR(__xludf.DUMMYFUNCTION("""COMPUTED_VALUE"""),0.6)</f>
        <v>0.6</v>
      </c>
      <c r="AN4" s="68" t="b">
        <f ca="1">IFERROR(__xludf.DUMMYFUNCTION("""COMPUTED_VALUE"""),FALSE)</f>
        <v>0</v>
      </c>
      <c r="AO4" s="228"/>
      <c r="AP4" s="67">
        <f ca="1">IFERROR(__xludf.DUMMYFUNCTION("""COMPUTED_VALUE"""),0.6)</f>
        <v>0.6</v>
      </c>
      <c r="AQ4" s="68" t="b">
        <f ca="1">IFERROR(__xludf.DUMMYFUNCTION("""COMPUTED_VALUE"""),FALSE)</f>
        <v>0</v>
      </c>
      <c r="AR4" s="228"/>
      <c r="AS4" s="67"/>
      <c r="AT4" s="68" t="b">
        <f ca="1">IFERROR(__xludf.DUMMYFUNCTION("""COMPUTED_VALUE"""),FALSE)</f>
        <v>0</v>
      </c>
      <c r="AU4" s="228"/>
      <c r="AV4" s="67"/>
      <c r="AW4" s="68" t="b">
        <f ca="1">IFERROR(__xludf.DUMMYFUNCTION("""COMPUTED_VALUE"""),FALSE)</f>
        <v>0</v>
      </c>
      <c r="AX4" s="228"/>
      <c r="AY4" s="67"/>
      <c r="AZ4" s="68" t="b">
        <f ca="1">IFERROR(__xludf.DUMMYFUNCTION("""COMPUTED_VALUE"""),FALSE)</f>
        <v>0</v>
      </c>
      <c r="BA4" s="228"/>
      <c r="BB4" s="67"/>
      <c r="BC4" s="68" t="b">
        <f ca="1">IFERROR(__xludf.DUMMYFUNCTION("""COMPUTED_VALUE"""),FALSE)</f>
        <v>0</v>
      </c>
      <c r="BD4" s="228"/>
      <c r="BE4" s="67"/>
      <c r="BF4" s="68" t="b">
        <f ca="1">IFERROR(__xludf.DUMMYFUNCTION("""COMPUTED_VALUE"""),FALSE)</f>
        <v>0</v>
      </c>
      <c r="BG4" s="228"/>
      <c r="BH4" s="67"/>
      <c r="BI4" s="70"/>
    </row>
    <row r="5" spans="1:61" ht="24.75" customHeight="1" x14ac:dyDescent="0.25">
      <c r="A5" s="46"/>
      <c r="B5" s="258"/>
      <c r="C5" s="229"/>
      <c r="D5" s="229"/>
      <c r="E5" s="229"/>
      <c r="F5" s="261"/>
      <c r="G5" s="229"/>
      <c r="H5" s="265"/>
      <c r="I5" s="229"/>
      <c r="J5" s="64" t="str">
        <f ca="1">IFERROR(__xludf.DUMMYFUNCTION("""COMPUTED_VALUE"""),"In-OSCE Mark")</f>
        <v>In-OSCE Mark</v>
      </c>
      <c r="K5" s="237"/>
      <c r="L5" s="71" t="str">
        <f ca="1">IFERROR(__xludf.DUMMYFUNCTION("""COMPUTED_VALUE"""),"Pass Status")</f>
        <v>Pass Status</v>
      </c>
      <c r="M5" s="72">
        <f ca="1">IFERROR(__xludf.DUMMYFUNCTION("""COMPUTED_VALUE"""),2.4)</f>
        <v>2.4</v>
      </c>
      <c r="N5" s="229"/>
      <c r="O5" s="73" t="str">
        <f ca="1">IFERROR(__xludf.DUMMYFUNCTION("""COMPUTED_VALUE"""),"Status ")</f>
        <v xml:space="preserve">Status </v>
      </c>
      <c r="P5" s="74">
        <f ca="1">IFERROR(__xludf.DUMMYFUNCTION("""COMPUTED_VALUE"""),2.4)</f>
        <v>2.4</v>
      </c>
      <c r="Q5" s="229"/>
      <c r="R5" s="73" t="str">
        <f ca="1">IFERROR(__xludf.DUMMYFUNCTION("""COMPUTED_VALUE"""),"Status ")</f>
        <v xml:space="preserve">Status </v>
      </c>
      <c r="S5" s="74">
        <f ca="1">IFERROR(__xludf.DUMMYFUNCTION("""COMPUTED_VALUE"""),2.4)</f>
        <v>2.4</v>
      </c>
      <c r="T5" s="229"/>
      <c r="U5" s="73" t="str">
        <f ca="1">IFERROR(__xludf.DUMMYFUNCTION("""COMPUTED_VALUE"""),"Status ")</f>
        <v xml:space="preserve">Status </v>
      </c>
      <c r="V5" s="74">
        <f ca="1">IFERROR(__xludf.DUMMYFUNCTION("""COMPUTED_VALUE"""),2.4)</f>
        <v>2.4</v>
      </c>
      <c r="W5" s="229"/>
      <c r="X5" s="73" t="str">
        <f ca="1">IFERROR(__xludf.DUMMYFUNCTION("""COMPUTED_VALUE"""),"Status ")</f>
        <v xml:space="preserve">Status </v>
      </c>
      <c r="Y5" s="74">
        <f ca="1">IFERROR(__xludf.DUMMYFUNCTION("""COMPUTED_VALUE"""),2.4)</f>
        <v>2.4</v>
      </c>
      <c r="Z5" s="229"/>
      <c r="AA5" s="73" t="str">
        <f ca="1">IFERROR(__xludf.DUMMYFUNCTION("""COMPUTED_VALUE"""),"Status ")</f>
        <v xml:space="preserve">Status </v>
      </c>
      <c r="AB5" s="74">
        <f ca="1">IFERROR(__xludf.DUMMYFUNCTION("""COMPUTED_VALUE"""),2.4)</f>
        <v>2.4</v>
      </c>
      <c r="AC5" s="229"/>
      <c r="AD5" s="73" t="str">
        <f ca="1">IFERROR(__xludf.DUMMYFUNCTION("""COMPUTED_VALUE"""),"Status ")</f>
        <v xml:space="preserve">Status </v>
      </c>
      <c r="AE5" s="74">
        <f ca="1">IFERROR(__xludf.DUMMYFUNCTION("""COMPUTED_VALUE"""),2.4)</f>
        <v>2.4</v>
      </c>
      <c r="AF5" s="229"/>
      <c r="AG5" s="73" t="str">
        <f ca="1">IFERROR(__xludf.DUMMYFUNCTION("""COMPUTED_VALUE"""),"Status ")</f>
        <v xml:space="preserve">Status </v>
      </c>
      <c r="AH5" s="74">
        <f ca="1">IFERROR(__xludf.DUMMYFUNCTION("""COMPUTED_VALUE"""),2.4)</f>
        <v>2.4</v>
      </c>
      <c r="AI5" s="229"/>
      <c r="AJ5" s="73" t="str">
        <f ca="1">IFERROR(__xludf.DUMMYFUNCTION("""COMPUTED_VALUE"""),"Status ")</f>
        <v xml:space="preserve">Status </v>
      </c>
      <c r="AK5" s="74">
        <f ca="1">IFERROR(__xludf.DUMMYFUNCTION("""COMPUTED_VALUE"""),2.4)</f>
        <v>2.4</v>
      </c>
      <c r="AL5" s="229"/>
      <c r="AM5" s="73" t="str">
        <f ca="1">IFERROR(__xludf.DUMMYFUNCTION("""COMPUTED_VALUE"""),"Status ")</f>
        <v xml:space="preserve">Status </v>
      </c>
      <c r="AN5" s="74">
        <f ca="1">IFERROR(__xludf.DUMMYFUNCTION("""COMPUTED_VALUE"""),2.4)</f>
        <v>2.4</v>
      </c>
      <c r="AO5" s="229"/>
      <c r="AP5" s="73" t="str">
        <f ca="1">IFERROR(__xludf.DUMMYFUNCTION("""COMPUTED_VALUE"""),"Status ")</f>
        <v xml:space="preserve">Status </v>
      </c>
      <c r="AQ5" s="74"/>
      <c r="AR5" s="229"/>
      <c r="AS5" s="73" t="str">
        <f ca="1">IFERROR(__xludf.DUMMYFUNCTION("""COMPUTED_VALUE"""),"Status ")</f>
        <v xml:space="preserve">Status </v>
      </c>
      <c r="AT5" s="74"/>
      <c r="AU5" s="229"/>
      <c r="AV5" s="73" t="str">
        <f ca="1">IFERROR(__xludf.DUMMYFUNCTION("""COMPUTED_VALUE"""),"Status ")</f>
        <v xml:space="preserve">Status </v>
      </c>
      <c r="AW5" s="74"/>
      <c r="AX5" s="229"/>
      <c r="AY5" s="73" t="str">
        <f ca="1">IFERROR(__xludf.DUMMYFUNCTION("""COMPUTED_VALUE"""),"Status ")</f>
        <v xml:space="preserve">Status </v>
      </c>
      <c r="AZ5" s="74"/>
      <c r="BA5" s="229"/>
      <c r="BB5" s="73" t="str">
        <f ca="1">IFERROR(__xludf.DUMMYFUNCTION("""COMPUTED_VALUE"""),"Status ")</f>
        <v xml:space="preserve">Status </v>
      </c>
      <c r="BC5" s="74"/>
      <c r="BD5" s="229"/>
      <c r="BE5" s="73" t="str">
        <f ca="1">IFERROR(__xludf.DUMMYFUNCTION("""COMPUTED_VALUE"""),"Status ")</f>
        <v xml:space="preserve">Status </v>
      </c>
      <c r="BF5" s="74"/>
      <c r="BG5" s="229"/>
      <c r="BH5" s="73" t="str">
        <f ca="1">IFERROR(__xludf.DUMMYFUNCTION("""COMPUTED_VALUE"""),"Status ")</f>
        <v xml:space="preserve">Status </v>
      </c>
      <c r="BI5" s="63"/>
    </row>
    <row r="6" spans="1:61" ht="22.5" customHeight="1" x14ac:dyDescent="0.25">
      <c r="A6" s="46"/>
      <c r="B6" s="75"/>
      <c r="C6" s="75"/>
      <c r="D6" s="75"/>
      <c r="E6" s="75" t="str">
        <f ca="1">IFERROR(__xludf.DUMMYFUNCTION("""COMPUTED_VALUE"""),"G01")</f>
        <v>G01</v>
      </c>
      <c r="F6" s="76"/>
      <c r="G6" s="77">
        <f ca="1">IFERROR(__xludf.DUMMYFUNCTION("""COMPUTED_VALUE"""),0)</f>
        <v>0</v>
      </c>
      <c r="H6" s="78">
        <f ca="1">IFERROR(__xludf.DUMMYFUNCTION("""COMPUTED_VALUE"""),10)</f>
        <v>10</v>
      </c>
      <c r="I6" s="79">
        <f ca="1">IFERROR(__xludf.DUMMYFUNCTION("""COMPUTED_VALUE"""),6)</f>
        <v>6</v>
      </c>
      <c r="J6" s="266"/>
      <c r="K6" s="80">
        <f ca="1">IFERROR(__xludf.DUMMYFUNCTION("""COMPUTED_VALUE"""),14.13)</f>
        <v>14.13</v>
      </c>
      <c r="L6" s="81" t="str">
        <f ca="1">IFERROR(__xludf.DUMMYFUNCTION("""COMPUTED_VALUE"""),"Fail")</f>
        <v>Fail</v>
      </c>
      <c r="M6" s="82">
        <f ca="1">IFERROR(__xludf.DUMMYFUNCTION("""COMPUTED_VALUE"""),1.425)</f>
        <v>1.425</v>
      </c>
      <c r="N6" s="83">
        <f ca="1">IFERROR(__xludf.DUMMYFUNCTION("""COMPUTED_VALUE"""),1)</f>
        <v>1</v>
      </c>
      <c r="O6" s="75" t="str">
        <f ca="1">IFERROR(__xludf.DUMMYFUNCTION("""COMPUTED_VALUE"""),"Station Fail")</f>
        <v>Station Fail</v>
      </c>
      <c r="P6" s="82">
        <f ca="1">IFERROR(__xludf.DUMMYFUNCTION("""COMPUTED_VALUE"""),1.93548387096774)</f>
        <v>1.93548387096774</v>
      </c>
      <c r="Q6" s="83">
        <f ca="1">IFERROR(__xludf.DUMMYFUNCTION("""COMPUTED_VALUE"""),4)</f>
        <v>4</v>
      </c>
      <c r="R6" s="75" t="str">
        <f ca="1">IFERROR(__xludf.DUMMYFUNCTION("""COMPUTED_VALUE"""),"Pass")</f>
        <v>Pass</v>
      </c>
      <c r="S6" s="82">
        <f ca="1">IFERROR(__xludf.DUMMYFUNCTION("""COMPUTED_VALUE"""),1)</f>
        <v>1</v>
      </c>
      <c r="T6" s="83">
        <f ca="1">IFERROR(__xludf.DUMMYFUNCTION("""COMPUTED_VALUE"""),2)</f>
        <v>2</v>
      </c>
      <c r="U6" s="75" t="str">
        <f ca="1">IFERROR(__xludf.DUMMYFUNCTION("""COMPUTED_VALUE"""),"Station Fail")</f>
        <v>Station Fail</v>
      </c>
      <c r="V6" s="82">
        <f ca="1">IFERROR(__xludf.DUMMYFUNCTION("""COMPUTED_VALUE"""),1.92)</f>
        <v>1.92</v>
      </c>
      <c r="W6" s="83">
        <f ca="1">IFERROR(__xludf.DUMMYFUNCTION("""COMPUTED_VALUE"""),4)</f>
        <v>4</v>
      </c>
      <c r="X6" s="75" t="str">
        <f ca="1">IFERROR(__xludf.DUMMYFUNCTION("""COMPUTED_VALUE"""),"Pass")</f>
        <v>Pass</v>
      </c>
      <c r="Y6" s="82">
        <f ca="1">IFERROR(__xludf.DUMMYFUNCTION("""COMPUTED_VALUE"""),1.92)</f>
        <v>1.92</v>
      </c>
      <c r="Z6" s="83">
        <f ca="1">IFERROR(__xludf.DUMMYFUNCTION("""COMPUTED_VALUE"""),4)</f>
        <v>4</v>
      </c>
      <c r="AA6" s="75" t="str">
        <f ca="1">IFERROR(__xludf.DUMMYFUNCTION("""COMPUTED_VALUE"""),"Pass")</f>
        <v>Pass</v>
      </c>
      <c r="AB6" s="82">
        <f ca="1">IFERROR(__xludf.DUMMYFUNCTION("""COMPUTED_VALUE"""),1.29999999999999)</f>
        <v>1.2999999999999901</v>
      </c>
      <c r="AC6" s="83">
        <f ca="1">IFERROR(__xludf.DUMMYFUNCTION("""COMPUTED_VALUE"""),2)</f>
        <v>2</v>
      </c>
      <c r="AD6" s="75" t="str">
        <f ca="1">IFERROR(__xludf.DUMMYFUNCTION("""COMPUTED_VALUE"""),"Station Fail")</f>
        <v>Station Fail</v>
      </c>
      <c r="AE6" s="82">
        <f ca="1">IFERROR(__xludf.DUMMYFUNCTION("""COMPUTED_VALUE"""),1.344)</f>
        <v>1.3440000000000001</v>
      </c>
      <c r="AF6" s="83">
        <f ca="1">IFERROR(__xludf.DUMMYFUNCTION("""COMPUTED_VALUE"""),3)</f>
        <v>3</v>
      </c>
      <c r="AG6" s="75" t="str">
        <f ca="1">IFERROR(__xludf.DUMMYFUNCTION("""COMPUTED_VALUE"""),"Station Fail")</f>
        <v>Station Fail</v>
      </c>
      <c r="AH6" s="82">
        <f ca="1">IFERROR(__xludf.DUMMYFUNCTION("""COMPUTED_VALUE"""),0.96)</f>
        <v>0.96</v>
      </c>
      <c r="AI6" s="83">
        <f ca="1">IFERROR(__xludf.DUMMYFUNCTION("""COMPUTED_VALUE"""),1)</f>
        <v>1</v>
      </c>
      <c r="AJ6" s="75" t="str">
        <f ca="1">IFERROR(__xludf.DUMMYFUNCTION("""COMPUTED_VALUE"""),"Station Fail")</f>
        <v>Station Fail</v>
      </c>
      <c r="AK6" s="82">
        <f ca="1">IFERROR(__xludf.DUMMYFUNCTION("""COMPUTED_VALUE"""),2.32499999999999)</f>
        <v>2.32499999999999</v>
      </c>
      <c r="AL6" s="83">
        <f ca="1">IFERROR(__xludf.DUMMYFUNCTION("""COMPUTED_VALUE"""),4)</f>
        <v>4</v>
      </c>
      <c r="AM6" s="75" t="str">
        <f ca="1">IFERROR(__xludf.DUMMYFUNCTION("""COMPUTED_VALUE"""),"Pass")</f>
        <v>Pass</v>
      </c>
      <c r="AN6" s="82">
        <f ca="1">IFERROR(__xludf.DUMMYFUNCTION("""COMPUTED_VALUE"""),0)</f>
        <v>0</v>
      </c>
      <c r="AO6" s="83">
        <f ca="1">IFERROR(__xludf.DUMMYFUNCTION("""COMPUTED_VALUE"""),1)</f>
        <v>1</v>
      </c>
      <c r="AP6" s="75" t="str">
        <f ca="1">IFERROR(__xludf.DUMMYFUNCTION("""COMPUTED_VALUE"""),"Station Fail")</f>
        <v>Station Fail</v>
      </c>
      <c r="AQ6" s="82"/>
      <c r="AR6" s="83"/>
      <c r="AS6" s="75"/>
      <c r="AT6" s="82"/>
      <c r="AU6" s="83"/>
      <c r="AV6" s="75"/>
      <c r="AW6" s="82"/>
      <c r="AX6" s="83"/>
      <c r="AY6" s="75"/>
      <c r="AZ6" s="82"/>
      <c r="BA6" s="83"/>
      <c r="BB6" s="75"/>
      <c r="BC6" s="82"/>
      <c r="BD6" s="83"/>
      <c r="BE6" s="75"/>
      <c r="BF6" s="82"/>
      <c r="BG6" s="83"/>
      <c r="BH6" s="75"/>
      <c r="BI6" s="46"/>
    </row>
    <row r="7" spans="1:61" ht="22.5" customHeight="1" x14ac:dyDescent="0.25">
      <c r="A7" s="46"/>
      <c r="B7" s="75"/>
      <c r="C7" s="75"/>
      <c r="D7" s="75"/>
      <c r="E7" s="75" t="str">
        <f ca="1">IFERROR(__xludf.DUMMYFUNCTION("""COMPUTED_VALUE"""),"G01")</f>
        <v>G01</v>
      </c>
      <c r="F7" s="76"/>
      <c r="G7" s="77">
        <f ca="1">IFERROR(__xludf.DUMMYFUNCTION("""COMPUTED_VALUE"""),0)</f>
        <v>0</v>
      </c>
      <c r="H7" s="78">
        <f ca="1">IFERROR(__xludf.DUMMYFUNCTION("""COMPUTED_VALUE"""),10)</f>
        <v>10</v>
      </c>
      <c r="I7" s="79">
        <f ca="1">IFERROR(__xludf.DUMMYFUNCTION("""COMPUTED_VALUE"""),0)</f>
        <v>0</v>
      </c>
      <c r="J7" s="264"/>
      <c r="K7" s="82">
        <f ca="1">IFERROR(__xludf.DUMMYFUNCTION("""COMPUTED_VALUE"""),18.86)</f>
        <v>18.86</v>
      </c>
      <c r="L7" s="81" t="str">
        <f ca="1">IFERROR(__xludf.DUMMYFUNCTION("""COMPUTED_VALUE"""),"Pass")</f>
        <v>Pass</v>
      </c>
      <c r="M7" s="82">
        <f ca="1">IFERROR(__xludf.DUMMYFUNCTION("""COMPUTED_VALUE"""),2.175)</f>
        <v>2.1749999999999998</v>
      </c>
      <c r="N7" s="83">
        <f ca="1">IFERROR(__xludf.DUMMYFUNCTION("""COMPUTED_VALUE"""),4)</f>
        <v>4</v>
      </c>
      <c r="O7" s="75" t="str">
        <f ca="1">IFERROR(__xludf.DUMMYFUNCTION("""COMPUTED_VALUE"""),"Pass")</f>
        <v>Pass</v>
      </c>
      <c r="P7" s="82">
        <f ca="1">IFERROR(__xludf.DUMMYFUNCTION("""COMPUTED_VALUE"""),2.4)</f>
        <v>2.4</v>
      </c>
      <c r="Q7" s="83">
        <f ca="1">IFERROR(__xludf.DUMMYFUNCTION("""COMPUTED_VALUE"""),5)</f>
        <v>5</v>
      </c>
      <c r="R7" s="75" t="str">
        <f ca="1">IFERROR(__xludf.DUMMYFUNCTION("""COMPUTED_VALUE"""),"Pass")</f>
        <v>Pass</v>
      </c>
      <c r="S7" s="82">
        <f ca="1">IFERROR(__xludf.DUMMYFUNCTION("""COMPUTED_VALUE"""),2)</f>
        <v>2</v>
      </c>
      <c r="T7" s="83">
        <f ca="1">IFERROR(__xludf.DUMMYFUNCTION("""COMPUTED_VALUE"""),4)</f>
        <v>4</v>
      </c>
      <c r="U7" s="75" t="str">
        <f ca="1">IFERROR(__xludf.DUMMYFUNCTION("""COMPUTED_VALUE"""),"Pass")</f>
        <v>Pass</v>
      </c>
      <c r="V7" s="82">
        <f ca="1">IFERROR(__xludf.DUMMYFUNCTION("""COMPUTED_VALUE"""),1.56)</f>
        <v>1.56</v>
      </c>
      <c r="W7" s="83">
        <f ca="1">IFERROR(__xludf.DUMMYFUNCTION("""COMPUTED_VALUE"""),2)</f>
        <v>2</v>
      </c>
      <c r="X7" s="75" t="str">
        <f ca="1">IFERROR(__xludf.DUMMYFUNCTION("""COMPUTED_VALUE"""),"Pass")</f>
        <v>Pass</v>
      </c>
      <c r="Y7" s="82">
        <f ca="1">IFERROR(__xludf.DUMMYFUNCTION("""COMPUTED_VALUE"""),2.04)</f>
        <v>2.04</v>
      </c>
      <c r="Z7" s="83">
        <f ca="1">IFERROR(__xludf.DUMMYFUNCTION("""COMPUTED_VALUE"""),4)</f>
        <v>4</v>
      </c>
      <c r="AA7" s="75" t="str">
        <f ca="1">IFERROR(__xludf.DUMMYFUNCTION("""COMPUTED_VALUE"""),"Pass")</f>
        <v>Pass</v>
      </c>
      <c r="AB7" s="82">
        <f ca="1">IFERROR(__xludf.DUMMYFUNCTION("""COMPUTED_VALUE"""),1.79999999999999)</f>
        <v>1.7999999999999901</v>
      </c>
      <c r="AC7" s="83">
        <f ca="1">IFERROR(__xludf.DUMMYFUNCTION("""COMPUTED_VALUE"""),3)</f>
        <v>3</v>
      </c>
      <c r="AD7" s="75" t="str">
        <f ca="1">IFERROR(__xludf.DUMMYFUNCTION("""COMPUTED_VALUE"""),"Pass")</f>
        <v>Pass</v>
      </c>
      <c r="AE7" s="82">
        <f ca="1">IFERROR(__xludf.DUMMYFUNCTION("""COMPUTED_VALUE"""),1.728)</f>
        <v>1.728</v>
      </c>
      <c r="AF7" s="83">
        <f ca="1">IFERROR(__xludf.DUMMYFUNCTION("""COMPUTED_VALUE"""),4)</f>
        <v>4</v>
      </c>
      <c r="AG7" s="75" t="str">
        <f ca="1">IFERROR(__xludf.DUMMYFUNCTION("""COMPUTED_VALUE"""),"Pass")</f>
        <v>Pass</v>
      </c>
      <c r="AH7" s="82">
        <f ca="1">IFERROR(__xludf.DUMMYFUNCTION("""COMPUTED_VALUE"""),1.50857142857142)</f>
        <v>1.50857142857142</v>
      </c>
      <c r="AI7" s="83">
        <f ca="1">IFERROR(__xludf.DUMMYFUNCTION("""COMPUTED_VALUE"""),4)</f>
        <v>4</v>
      </c>
      <c r="AJ7" s="75" t="str">
        <f ca="1">IFERROR(__xludf.DUMMYFUNCTION("""COMPUTED_VALUE"""),"Pass")</f>
        <v>Pass</v>
      </c>
      <c r="AK7" s="82">
        <f ca="1">IFERROR(__xludf.DUMMYFUNCTION("""COMPUTED_VALUE"""),2.175)</f>
        <v>2.1749999999999998</v>
      </c>
      <c r="AL7" s="83">
        <f ca="1">IFERROR(__xludf.DUMMYFUNCTION("""COMPUTED_VALUE"""),5)</f>
        <v>5</v>
      </c>
      <c r="AM7" s="75" t="str">
        <f ca="1">IFERROR(__xludf.DUMMYFUNCTION("""COMPUTED_VALUE"""),"Pass")</f>
        <v>Pass</v>
      </c>
      <c r="AN7" s="82">
        <f ca="1">IFERROR(__xludf.DUMMYFUNCTION("""COMPUTED_VALUE"""),1.47692307692307)</f>
        <v>1.4769230769230699</v>
      </c>
      <c r="AO7" s="83">
        <f ca="1">IFERROR(__xludf.DUMMYFUNCTION("""COMPUTED_VALUE"""),2)</f>
        <v>2</v>
      </c>
      <c r="AP7" s="75" t="str">
        <f ca="1">IFERROR(__xludf.DUMMYFUNCTION("""COMPUTED_VALUE"""),"Pass")</f>
        <v>Pass</v>
      </c>
      <c r="AQ7" s="82"/>
      <c r="AR7" s="83"/>
      <c r="AS7" s="75"/>
      <c r="AT7" s="82"/>
      <c r="AU7" s="83"/>
      <c r="AV7" s="75"/>
      <c r="AW7" s="82"/>
      <c r="AX7" s="83"/>
      <c r="AY7" s="75"/>
      <c r="AZ7" s="82"/>
      <c r="BA7" s="83"/>
      <c r="BB7" s="75"/>
      <c r="BC7" s="82"/>
      <c r="BD7" s="83"/>
      <c r="BE7" s="75"/>
      <c r="BF7" s="82"/>
      <c r="BG7" s="83"/>
      <c r="BH7" s="75"/>
      <c r="BI7" s="46"/>
    </row>
    <row r="8" spans="1:61" ht="22.5" customHeight="1" x14ac:dyDescent="0.25">
      <c r="A8" s="46"/>
      <c r="B8" s="75"/>
      <c r="C8" s="75"/>
      <c r="D8" s="75"/>
      <c r="E8" s="75" t="str">
        <f ca="1">IFERROR(__xludf.DUMMYFUNCTION("""COMPUTED_VALUE"""),"G01")</f>
        <v>G01</v>
      </c>
      <c r="F8" s="76"/>
      <c r="G8" s="77">
        <f ca="1">IFERROR(__xludf.DUMMYFUNCTION("""COMPUTED_VALUE"""),0)</f>
        <v>0</v>
      </c>
      <c r="H8" s="78">
        <f ca="1">IFERROR(__xludf.DUMMYFUNCTION("""COMPUTED_VALUE"""),10)</f>
        <v>10</v>
      </c>
      <c r="I8" s="79">
        <f ca="1">IFERROR(__xludf.DUMMYFUNCTION("""COMPUTED_VALUE"""),2)</f>
        <v>2</v>
      </c>
      <c r="J8" s="264"/>
      <c r="K8" s="82">
        <f ca="1">IFERROR(__xludf.DUMMYFUNCTION("""COMPUTED_VALUE"""),19.09)</f>
        <v>19.09</v>
      </c>
      <c r="L8" s="81" t="str">
        <f ca="1">IFERROR(__xludf.DUMMYFUNCTION("""COMPUTED_VALUE"""),"Pass")</f>
        <v>Pass</v>
      </c>
      <c r="M8" s="82">
        <f ca="1">IFERROR(__xludf.DUMMYFUNCTION("""COMPUTED_VALUE"""),1.425)</f>
        <v>1.425</v>
      </c>
      <c r="N8" s="83">
        <f ca="1">IFERROR(__xludf.DUMMYFUNCTION("""COMPUTED_VALUE"""),3)</f>
        <v>3</v>
      </c>
      <c r="O8" s="75" t="str">
        <f ca="1">IFERROR(__xludf.DUMMYFUNCTION("""COMPUTED_VALUE"""),"Station Fail")</f>
        <v>Station Fail</v>
      </c>
      <c r="P8" s="82">
        <f ca="1">IFERROR(__xludf.DUMMYFUNCTION("""COMPUTED_VALUE"""),2.4)</f>
        <v>2.4</v>
      </c>
      <c r="Q8" s="83">
        <f ca="1">IFERROR(__xludf.DUMMYFUNCTION("""COMPUTED_VALUE"""),5)</f>
        <v>5</v>
      </c>
      <c r="R8" s="75" t="str">
        <f ca="1">IFERROR(__xludf.DUMMYFUNCTION("""COMPUTED_VALUE"""),"Pass")</f>
        <v>Pass</v>
      </c>
      <c r="S8" s="82">
        <f ca="1">IFERROR(__xludf.DUMMYFUNCTION("""COMPUTED_VALUE"""),1.9)</f>
        <v>1.9</v>
      </c>
      <c r="T8" s="83">
        <f ca="1">IFERROR(__xludf.DUMMYFUNCTION("""COMPUTED_VALUE"""),2)</f>
        <v>2</v>
      </c>
      <c r="U8" s="75" t="str">
        <f ca="1">IFERROR(__xludf.DUMMYFUNCTION("""COMPUTED_VALUE"""),"Pass")</f>
        <v>Pass</v>
      </c>
      <c r="V8" s="82">
        <f ca="1">IFERROR(__xludf.DUMMYFUNCTION("""COMPUTED_VALUE"""),2.28)</f>
        <v>2.2799999999999998</v>
      </c>
      <c r="W8" s="83">
        <f ca="1">IFERROR(__xludf.DUMMYFUNCTION("""COMPUTED_VALUE"""),4)</f>
        <v>4</v>
      </c>
      <c r="X8" s="75" t="str">
        <f ca="1">IFERROR(__xludf.DUMMYFUNCTION("""COMPUTED_VALUE"""),"Pass")</f>
        <v>Pass</v>
      </c>
      <c r="Y8" s="82">
        <f ca="1">IFERROR(__xludf.DUMMYFUNCTION("""COMPUTED_VALUE"""),2.16)</f>
        <v>2.16</v>
      </c>
      <c r="Z8" s="83">
        <f ca="1">IFERROR(__xludf.DUMMYFUNCTION("""COMPUTED_VALUE"""),5)</f>
        <v>5</v>
      </c>
      <c r="AA8" s="75" t="str">
        <f ca="1">IFERROR(__xludf.DUMMYFUNCTION("""COMPUTED_VALUE"""),"Pass")</f>
        <v>Pass</v>
      </c>
      <c r="AB8" s="82">
        <f ca="1">IFERROR(__xludf.DUMMYFUNCTION("""COMPUTED_VALUE"""),1.79999999999999)</f>
        <v>1.7999999999999901</v>
      </c>
      <c r="AC8" s="83">
        <f ca="1">IFERROR(__xludf.DUMMYFUNCTION("""COMPUTED_VALUE"""),4)</f>
        <v>4</v>
      </c>
      <c r="AD8" s="75" t="str">
        <f ca="1">IFERROR(__xludf.DUMMYFUNCTION("""COMPUTED_VALUE"""),"Pass")</f>
        <v>Pass</v>
      </c>
      <c r="AE8" s="82">
        <f ca="1">IFERROR(__xludf.DUMMYFUNCTION("""COMPUTED_VALUE"""),2.016)</f>
        <v>2.016</v>
      </c>
      <c r="AF8" s="83">
        <f ca="1">IFERROR(__xludf.DUMMYFUNCTION("""COMPUTED_VALUE"""),4)</f>
        <v>4</v>
      </c>
      <c r="AG8" s="75" t="str">
        <f ca="1">IFERROR(__xludf.DUMMYFUNCTION("""COMPUTED_VALUE"""),"Pass")</f>
        <v>Pass</v>
      </c>
      <c r="AH8" s="82">
        <f ca="1">IFERROR(__xludf.DUMMYFUNCTION("""COMPUTED_VALUE"""),1.23428571428571)</f>
        <v>1.23428571428571</v>
      </c>
      <c r="AI8" s="83">
        <f ca="1">IFERROR(__xludf.DUMMYFUNCTION("""COMPUTED_VALUE"""),3)</f>
        <v>3</v>
      </c>
      <c r="AJ8" s="75" t="str">
        <f ca="1">IFERROR(__xludf.DUMMYFUNCTION("""COMPUTED_VALUE"""),"Station Fail")</f>
        <v>Station Fail</v>
      </c>
      <c r="AK8" s="82">
        <f ca="1">IFERROR(__xludf.DUMMYFUNCTION("""COMPUTED_VALUE"""),2.4)</f>
        <v>2.4</v>
      </c>
      <c r="AL8" s="83">
        <f ca="1">IFERROR(__xludf.DUMMYFUNCTION("""COMPUTED_VALUE"""),5)</f>
        <v>5</v>
      </c>
      <c r="AM8" s="75" t="str">
        <f ca="1">IFERROR(__xludf.DUMMYFUNCTION("""COMPUTED_VALUE"""),"Pass")</f>
        <v>Pass</v>
      </c>
      <c r="AN8" s="82">
        <f ca="1">IFERROR(__xludf.DUMMYFUNCTION("""COMPUTED_VALUE"""),1.47692307692307)</f>
        <v>1.4769230769230699</v>
      </c>
      <c r="AO8" s="83">
        <f ca="1">IFERROR(__xludf.DUMMYFUNCTION("""COMPUTED_VALUE"""),1)</f>
        <v>1</v>
      </c>
      <c r="AP8" s="75" t="str">
        <f ca="1">IFERROR(__xludf.DUMMYFUNCTION("""COMPUTED_VALUE"""),"Pass")</f>
        <v>Pass</v>
      </c>
      <c r="AQ8" s="82"/>
      <c r="AR8" s="83"/>
      <c r="AS8" s="75"/>
      <c r="AT8" s="82"/>
      <c r="AU8" s="83"/>
      <c r="AV8" s="75"/>
      <c r="AW8" s="82"/>
      <c r="AX8" s="83"/>
      <c r="AY8" s="75"/>
      <c r="AZ8" s="82"/>
      <c r="BA8" s="83"/>
      <c r="BB8" s="75"/>
      <c r="BC8" s="82"/>
      <c r="BD8" s="83"/>
      <c r="BE8" s="75"/>
      <c r="BF8" s="82"/>
      <c r="BG8" s="83"/>
      <c r="BH8" s="75"/>
      <c r="BI8" s="46"/>
    </row>
    <row r="9" spans="1:61" ht="22.5" customHeight="1" x14ac:dyDescent="0.25">
      <c r="A9" s="46"/>
      <c r="B9" s="75"/>
      <c r="C9" s="75"/>
      <c r="D9" s="75"/>
      <c r="E9" s="75" t="str">
        <f ca="1">IFERROR(__xludf.DUMMYFUNCTION("""COMPUTED_VALUE"""),"G01")</f>
        <v>G01</v>
      </c>
      <c r="F9" s="76"/>
      <c r="G9" s="77">
        <f ca="1">IFERROR(__xludf.DUMMYFUNCTION("""COMPUTED_VALUE"""),0)</f>
        <v>0</v>
      </c>
      <c r="H9" s="78">
        <f ca="1">IFERROR(__xludf.DUMMYFUNCTION("""COMPUTED_VALUE"""),10)</f>
        <v>10</v>
      </c>
      <c r="I9" s="79">
        <f ca="1">IFERROR(__xludf.DUMMYFUNCTION("""COMPUTED_VALUE"""),1)</f>
        <v>1</v>
      </c>
      <c r="J9" s="264"/>
      <c r="K9" s="82">
        <f ca="1">IFERROR(__xludf.DUMMYFUNCTION("""COMPUTED_VALUE"""),19.63)</f>
        <v>19.63</v>
      </c>
      <c r="L9" s="81" t="str">
        <f ca="1">IFERROR(__xludf.DUMMYFUNCTION("""COMPUTED_VALUE"""),"Pass")</f>
        <v>Pass</v>
      </c>
      <c r="M9" s="82">
        <f ca="1">IFERROR(__xludf.DUMMYFUNCTION("""COMPUTED_VALUE"""),2.25)</f>
        <v>2.25</v>
      </c>
      <c r="N9" s="83">
        <f ca="1">IFERROR(__xludf.DUMMYFUNCTION("""COMPUTED_VALUE"""),4)</f>
        <v>4</v>
      </c>
      <c r="O9" s="75" t="str">
        <f ca="1">IFERROR(__xludf.DUMMYFUNCTION("""COMPUTED_VALUE"""),"Pass")</f>
        <v>Pass</v>
      </c>
      <c r="P9" s="82">
        <f ca="1">IFERROR(__xludf.DUMMYFUNCTION("""COMPUTED_VALUE"""),2.4)</f>
        <v>2.4</v>
      </c>
      <c r="Q9" s="83">
        <f ca="1">IFERROR(__xludf.DUMMYFUNCTION("""COMPUTED_VALUE"""),5)</f>
        <v>5</v>
      </c>
      <c r="R9" s="75" t="str">
        <f ca="1">IFERROR(__xludf.DUMMYFUNCTION("""COMPUTED_VALUE"""),"Pass")</f>
        <v>Pass</v>
      </c>
      <c r="S9" s="82">
        <f ca="1">IFERROR(__xludf.DUMMYFUNCTION("""COMPUTED_VALUE"""),2)</f>
        <v>2</v>
      </c>
      <c r="T9" s="83">
        <f ca="1">IFERROR(__xludf.DUMMYFUNCTION("""COMPUTED_VALUE"""),4)</f>
        <v>4</v>
      </c>
      <c r="U9" s="75" t="str">
        <f ca="1">IFERROR(__xludf.DUMMYFUNCTION("""COMPUTED_VALUE"""),"Pass")</f>
        <v>Pass</v>
      </c>
      <c r="V9" s="82">
        <f ca="1">IFERROR(__xludf.DUMMYFUNCTION("""COMPUTED_VALUE"""),1.2)</f>
        <v>1.2</v>
      </c>
      <c r="W9" s="83">
        <f ca="1">IFERROR(__xludf.DUMMYFUNCTION("""COMPUTED_VALUE"""),3)</f>
        <v>3</v>
      </c>
      <c r="X9" s="75" t="str">
        <f ca="1">IFERROR(__xludf.DUMMYFUNCTION("""COMPUTED_VALUE"""),"Station Fail")</f>
        <v>Station Fail</v>
      </c>
      <c r="Y9" s="82">
        <f ca="1">IFERROR(__xludf.DUMMYFUNCTION("""COMPUTED_VALUE"""),1.79999999999999)</f>
        <v>1.7999999999999901</v>
      </c>
      <c r="Z9" s="83">
        <f ca="1">IFERROR(__xludf.DUMMYFUNCTION("""COMPUTED_VALUE"""),4)</f>
        <v>4</v>
      </c>
      <c r="AA9" s="75" t="str">
        <f ca="1">IFERROR(__xludf.DUMMYFUNCTION("""COMPUTED_VALUE"""),"Pass")</f>
        <v>Pass</v>
      </c>
      <c r="AB9" s="82">
        <f ca="1">IFERROR(__xludf.DUMMYFUNCTION("""COMPUTED_VALUE"""),2)</f>
        <v>2</v>
      </c>
      <c r="AC9" s="83">
        <f ca="1">IFERROR(__xludf.DUMMYFUNCTION("""COMPUTED_VALUE"""),4)</f>
        <v>4</v>
      </c>
      <c r="AD9" s="75" t="str">
        <f ca="1">IFERROR(__xludf.DUMMYFUNCTION("""COMPUTED_VALUE"""),"Pass")</f>
        <v>Pass</v>
      </c>
      <c r="AE9" s="82">
        <f ca="1">IFERROR(__xludf.DUMMYFUNCTION("""COMPUTED_VALUE"""),1.632)</f>
        <v>1.6319999999999999</v>
      </c>
      <c r="AF9" s="83">
        <f ca="1">IFERROR(__xludf.DUMMYFUNCTION("""COMPUTED_VALUE"""),3)</f>
        <v>3</v>
      </c>
      <c r="AG9" s="75" t="str">
        <f ca="1">IFERROR(__xludf.DUMMYFUNCTION("""COMPUTED_VALUE"""),"Pass")</f>
        <v>Pass</v>
      </c>
      <c r="AH9" s="82">
        <f ca="1">IFERROR(__xludf.DUMMYFUNCTION("""COMPUTED_VALUE"""),1.98857142857142)</f>
        <v>1.98857142857142</v>
      </c>
      <c r="AI9" s="83">
        <f ca="1">IFERROR(__xludf.DUMMYFUNCTION("""COMPUTED_VALUE"""),4)</f>
        <v>4</v>
      </c>
      <c r="AJ9" s="75" t="str">
        <f ca="1">IFERROR(__xludf.DUMMYFUNCTION("""COMPUTED_VALUE"""),"Pass")</f>
        <v>Pass</v>
      </c>
      <c r="AK9" s="82">
        <f ca="1">IFERROR(__xludf.DUMMYFUNCTION("""COMPUTED_VALUE"""),2.32499999999999)</f>
        <v>2.32499999999999</v>
      </c>
      <c r="AL9" s="83">
        <f ca="1">IFERROR(__xludf.DUMMYFUNCTION("""COMPUTED_VALUE"""),5)</f>
        <v>5</v>
      </c>
      <c r="AM9" s="75" t="str">
        <f ca="1">IFERROR(__xludf.DUMMYFUNCTION("""COMPUTED_VALUE"""),"Pass")</f>
        <v>Pass</v>
      </c>
      <c r="AN9" s="82">
        <f ca="1">IFERROR(__xludf.DUMMYFUNCTION("""COMPUTED_VALUE"""),2.03076923076923)</f>
        <v>2.0307692307692302</v>
      </c>
      <c r="AO9" s="83">
        <f ca="1">IFERROR(__xludf.DUMMYFUNCTION("""COMPUTED_VALUE"""),4)</f>
        <v>4</v>
      </c>
      <c r="AP9" s="75" t="str">
        <f ca="1">IFERROR(__xludf.DUMMYFUNCTION("""COMPUTED_VALUE"""),"Pass")</f>
        <v>Pass</v>
      </c>
      <c r="AQ9" s="82"/>
      <c r="AR9" s="83"/>
      <c r="AS9" s="75"/>
      <c r="AT9" s="82"/>
      <c r="AU9" s="83"/>
      <c r="AV9" s="75"/>
      <c r="AW9" s="82"/>
      <c r="AX9" s="83"/>
      <c r="AY9" s="75"/>
      <c r="AZ9" s="82"/>
      <c r="BA9" s="83"/>
      <c r="BB9" s="75"/>
      <c r="BC9" s="82"/>
      <c r="BD9" s="83"/>
      <c r="BE9" s="75"/>
      <c r="BF9" s="82"/>
      <c r="BG9" s="83"/>
      <c r="BH9" s="75"/>
      <c r="BI9" s="46"/>
    </row>
    <row r="10" spans="1:61" ht="22.5" customHeight="1" x14ac:dyDescent="0.25">
      <c r="A10" s="46"/>
      <c r="B10" s="75"/>
      <c r="C10" s="75"/>
      <c r="D10" s="75"/>
      <c r="E10" s="75" t="str">
        <f ca="1">IFERROR(__xludf.DUMMYFUNCTION("""COMPUTED_VALUE"""),"G01")</f>
        <v>G01</v>
      </c>
      <c r="F10" s="76"/>
      <c r="G10" s="77">
        <f ca="1">IFERROR(__xludf.DUMMYFUNCTION("""COMPUTED_VALUE"""),0)</f>
        <v>0</v>
      </c>
      <c r="H10" s="78">
        <f ca="1">IFERROR(__xludf.DUMMYFUNCTION("""COMPUTED_VALUE"""),10)</f>
        <v>10</v>
      </c>
      <c r="I10" s="79">
        <f ca="1">IFERROR(__xludf.DUMMYFUNCTION("""COMPUTED_VALUE"""),1)</f>
        <v>1</v>
      </c>
      <c r="J10" s="264"/>
      <c r="K10" s="82">
        <f ca="1">IFERROR(__xludf.DUMMYFUNCTION("""COMPUTED_VALUE"""),20.5)</f>
        <v>20.5</v>
      </c>
      <c r="L10" s="81" t="str">
        <f ca="1">IFERROR(__xludf.DUMMYFUNCTION("""COMPUTED_VALUE"""),"Pass")</f>
        <v>Pass</v>
      </c>
      <c r="M10" s="82">
        <f ca="1">IFERROR(__xludf.DUMMYFUNCTION("""COMPUTED_VALUE"""),1.95)</f>
        <v>1.95</v>
      </c>
      <c r="N10" s="83">
        <f ca="1">IFERROR(__xludf.DUMMYFUNCTION("""COMPUTED_VALUE"""),3)</f>
        <v>3</v>
      </c>
      <c r="O10" s="75" t="str">
        <f ca="1">IFERROR(__xludf.DUMMYFUNCTION("""COMPUTED_VALUE"""),"Pass")</f>
        <v>Pass</v>
      </c>
      <c r="P10" s="82">
        <f ca="1">IFERROR(__xludf.DUMMYFUNCTION("""COMPUTED_VALUE"""),2.24516129032258)</f>
        <v>2.2451612903225802</v>
      </c>
      <c r="Q10" s="83">
        <f ca="1">IFERROR(__xludf.DUMMYFUNCTION("""COMPUTED_VALUE"""),5)</f>
        <v>5</v>
      </c>
      <c r="R10" s="75" t="str">
        <f ca="1">IFERROR(__xludf.DUMMYFUNCTION("""COMPUTED_VALUE"""),"Pass")</f>
        <v>Pass</v>
      </c>
      <c r="S10" s="82">
        <f ca="1">IFERROR(__xludf.DUMMYFUNCTION("""COMPUTED_VALUE"""),2.3)</f>
        <v>2.2999999999999998</v>
      </c>
      <c r="T10" s="83">
        <f ca="1">IFERROR(__xludf.DUMMYFUNCTION("""COMPUTED_VALUE"""),5)</f>
        <v>5</v>
      </c>
      <c r="U10" s="75" t="str">
        <f ca="1">IFERROR(__xludf.DUMMYFUNCTION("""COMPUTED_VALUE"""),"Pass")</f>
        <v>Pass</v>
      </c>
      <c r="V10" s="82">
        <f ca="1">IFERROR(__xludf.DUMMYFUNCTION("""COMPUTED_VALUE"""),2.4)</f>
        <v>2.4</v>
      </c>
      <c r="W10" s="83">
        <f ca="1">IFERROR(__xludf.DUMMYFUNCTION("""COMPUTED_VALUE"""),5)</f>
        <v>5</v>
      </c>
      <c r="X10" s="75" t="str">
        <f ca="1">IFERROR(__xludf.DUMMYFUNCTION("""COMPUTED_VALUE"""),"Pass")</f>
        <v>Pass</v>
      </c>
      <c r="Y10" s="82">
        <f ca="1">IFERROR(__xludf.DUMMYFUNCTION("""COMPUTED_VALUE"""),2.28)</f>
        <v>2.2799999999999998</v>
      </c>
      <c r="Z10" s="83">
        <f ca="1">IFERROR(__xludf.DUMMYFUNCTION("""COMPUTED_VALUE"""),5)</f>
        <v>5</v>
      </c>
      <c r="AA10" s="75" t="str">
        <f ca="1">IFERROR(__xludf.DUMMYFUNCTION("""COMPUTED_VALUE"""),"Pass")</f>
        <v>Pass</v>
      </c>
      <c r="AB10" s="82">
        <f ca="1">IFERROR(__xludf.DUMMYFUNCTION("""COMPUTED_VALUE"""),2.1)</f>
        <v>2.1</v>
      </c>
      <c r="AC10" s="83">
        <f ca="1">IFERROR(__xludf.DUMMYFUNCTION("""COMPUTED_VALUE"""),4)</f>
        <v>4</v>
      </c>
      <c r="AD10" s="75" t="str">
        <f ca="1">IFERROR(__xludf.DUMMYFUNCTION("""COMPUTED_VALUE"""),"Pass")</f>
        <v>Pass</v>
      </c>
      <c r="AE10" s="82">
        <f ca="1">IFERROR(__xludf.DUMMYFUNCTION("""COMPUTED_VALUE"""),2.4)</f>
        <v>2.4</v>
      </c>
      <c r="AF10" s="83">
        <f ca="1">IFERROR(__xludf.DUMMYFUNCTION("""COMPUTED_VALUE"""),5)</f>
        <v>5</v>
      </c>
      <c r="AG10" s="75" t="str">
        <f ca="1">IFERROR(__xludf.DUMMYFUNCTION("""COMPUTED_VALUE"""),"Pass")</f>
        <v>Pass</v>
      </c>
      <c r="AH10" s="82">
        <f ca="1">IFERROR(__xludf.DUMMYFUNCTION("""COMPUTED_VALUE"""),1.57714285714285)</f>
        <v>1.5771428571428501</v>
      </c>
      <c r="AI10" s="83">
        <f ca="1">IFERROR(__xludf.DUMMYFUNCTION("""COMPUTED_VALUE"""),3)</f>
        <v>3</v>
      </c>
      <c r="AJ10" s="75" t="str">
        <f ca="1">IFERROR(__xludf.DUMMYFUNCTION("""COMPUTED_VALUE"""),"Pass")</f>
        <v>Pass</v>
      </c>
      <c r="AK10" s="82">
        <f ca="1">IFERROR(__xludf.DUMMYFUNCTION("""COMPUTED_VALUE"""),2.32499999999999)</f>
        <v>2.32499999999999</v>
      </c>
      <c r="AL10" s="83">
        <f ca="1">IFERROR(__xludf.DUMMYFUNCTION("""COMPUTED_VALUE"""),4)</f>
        <v>4</v>
      </c>
      <c r="AM10" s="75" t="str">
        <f ca="1">IFERROR(__xludf.DUMMYFUNCTION("""COMPUTED_VALUE"""),"Pass")</f>
        <v>Pass</v>
      </c>
      <c r="AN10" s="82">
        <f ca="1">IFERROR(__xludf.DUMMYFUNCTION("""COMPUTED_VALUE"""),0.923076923076923)</f>
        <v>0.92307692307692302</v>
      </c>
      <c r="AO10" s="83">
        <f ca="1">IFERROR(__xludf.DUMMYFUNCTION("""COMPUTED_VALUE"""),2)</f>
        <v>2</v>
      </c>
      <c r="AP10" s="75" t="str">
        <f ca="1">IFERROR(__xludf.DUMMYFUNCTION("""COMPUTED_VALUE"""),"Station Fail")</f>
        <v>Station Fail</v>
      </c>
      <c r="AQ10" s="82"/>
      <c r="AR10" s="83"/>
      <c r="AS10" s="75"/>
      <c r="AT10" s="82"/>
      <c r="AU10" s="83"/>
      <c r="AV10" s="75"/>
      <c r="AW10" s="82"/>
      <c r="AX10" s="83"/>
      <c r="AY10" s="75"/>
      <c r="AZ10" s="82"/>
      <c r="BA10" s="83"/>
      <c r="BB10" s="75"/>
      <c r="BC10" s="82"/>
      <c r="BD10" s="83"/>
      <c r="BE10" s="75"/>
      <c r="BF10" s="82"/>
      <c r="BG10" s="83"/>
      <c r="BH10" s="75"/>
      <c r="BI10" s="46"/>
    </row>
    <row r="11" spans="1:61" ht="22.5" customHeight="1" x14ac:dyDescent="0.25">
      <c r="A11" s="46"/>
      <c r="B11" s="75"/>
      <c r="C11" s="75"/>
      <c r="D11" s="75"/>
      <c r="E11" s="75" t="str">
        <f ca="1">IFERROR(__xludf.DUMMYFUNCTION("""COMPUTED_VALUE"""),"G01")</f>
        <v>G01</v>
      </c>
      <c r="F11" s="76"/>
      <c r="G11" s="77">
        <f ca="1">IFERROR(__xludf.DUMMYFUNCTION("""COMPUTED_VALUE"""),0)</f>
        <v>0</v>
      </c>
      <c r="H11" s="78">
        <f ca="1">IFERROR(__xludf.DUMMYFUNCTION("""COMPUTED_VALUE"""),10)</f>
        <v>10</v>
      </c>
      <c r="I11" s="79">
        <f ca="1">IFERROR(__xludf.DUMMYFUNCTION("""COMPUTED_VALUE"""),6)</f>
        <v>6</v>
      </c>
      <c r="J11" s="264"/>
      <c r="K11" s="82">
        <f ca="1">IFERROR(__xludf.DUMMYFUNCTION("""COMPUTED_VALUE"""),13.17)</f>
        <v>13.17</v>
      </c>
      <c r="L11" s="81" t="str">
        <f ca="1">IFERROR(__xludf.DUMMYFUNCTION("""COMPUTED_VALUE"""),"Fail")</f>
        <v>Fail</v>
      </c>
      <c r="M11" s="82">
        <f ca="1">IFERROR(__xludf.DUMMYFUNCTION("""COMPUTED_VALUE"""),1.5)</f>
        <v>1.5</v>
      </c>
      <c r="N11" s="83">
        <f ca="1">IFERROR(__xludf.DUMMYFUNCTION("""COMPUTED_VALUE"""),3)</f>
        <v>3</v>
      </c>
      <c r="O11" s="75" t="str">
        <f ca="1">IFERROR(__xludf.DUMMYFUNCTION("""COMPUTED_VALUE"""),"Pass")</f>
        <v>Pass</v>
      </c>
      <c r="P11" s="82">
        <f ca="1">IFERROR(__xludf.DUMMYFUNCTION("""COMPUTED_VALUE"""),1.78064516129032)</f>
        <v>1.78064516129032</v>
      </c>
      <c r="Q11" s="83">
        <f ca="1">IFERROR(__xludf.DUMMYFUNCTION("""COMPUTED_VALUE"""),4)</f>
        <v>4</v>
      </c>
      <c r="R11" s="75" t="str">
        <f ca="1">IFERROR(__xludf.DUMMYFUNCTION("""COMPUTED_VALUE"""),"Pass")</f>
        <v>Pass</v>
      </c>
      <c r="S11" s="82">
        <f ca="1">IFERROR(__xludf.DUMMYFUNCTION("""COMPUTED_VALUE"""),1.2)</f>
        <v>1.2</v>
      </c>
      <c r="T11" s="83">
        <f ca="1">IFERROR(__xludf.DUMMYFUNCTION("""COMPUTED_VALUE"""),1)</f>
        <v>1</v>
      </c>
      <c r="U11" s="75" t="str">
        <f ca="1">IFERROR(__xludf.DUMMYFUNCTION("""COMPUTED_VALUE"""),"Station Fail")</f>
        <v>Station Fail</v>
      </c>
      <c r="V11" s="82">
        <f ca="1">IFERROR(__xludf.DUMMYFUNCTION("""COMPUTED_VALUE"""),2.16)</f>
        <v>2.16</v>
      </c>
      <c r="W11" s="83">
        <f ca="1">IFERROR(__xludf.DUMMYFUNCTION("""COMPUTED_VALUE"""),4)</f>
        <v>4</v>
      </c>
      <c r="X11" s="75" t="str">
        <f ca="1">IFERROR(__xludf.DUMMYFUNCTION("""COMPUTED_VALUE"""),"Pass")</f>
        <v>Pass</v>
      </c>
      <c r="Y11" s="82">
        <f ca="1">IFERROR(__xludf.DUMMYFUNCTION("""COMPUTED_VALUE"""),1.2)</f>
        <v>1.2</v>
      </c>
      <c r="Z11" s="83">
        <f ca="1">IFERROR(__xludf.DUMMYFUNCTION("""COMPUTED_VALUE"""),3)</f>
        <v>3</v>
      </c>
      <c r="AA11" s="75" t="str">
        <f ca="1">IFERROR(__xludf.DUMMYFUNCTION("""COMPUTED_VALUE"""),"Station Fail")</f>
        <v>Station Fail</v>
      </c>
      <c r="AB11" s="82">
        <f ca="1">IFERROR(__xludf.DUMMYFUNCTION("""COMPUTED_VALUE"""),0.899999999999999)</f>
        <v>0.89999999999999902</v>
      </c>
      <c r="AC11" s="83">
        <f ca="1">IFERROR(__xludf.DUMMYFUNCTION("""COMPUTED_VALUE"""),1)</f>
        <v>1</v>
      </c>
      <c r="AD11" s="75" t="str">
        <f ca="1">IFERROR(__xludf.DUMMYFUNCTION("""COMPUTED_VALUE"""),"Station Fail")</f>
        <v>Station Fail</v>
      </c>
      <c r="AE11" s="82">
        <f ca="1">IFERROR(__xludf.DUMMYFUNCTION("""COMPUTED_VALUE"""),1.344)</f>
        <v>1.3440000000000001</v>
      </c>
      <c r="AF11" s="83">
        <f ca="1">IFERROR(__xludf.DUMMYFUNCTION("""COMPUTED_VALUE"""),2)</f>
        <v>2</v>
      </c>
      <c r="AG11" s="75" t="str">
        <f ca="1">IFERROR(__xludf.DUMMYFUNCTION("""COMPUTED_VALUE"""),"Station Fail")</f>
        <v>Station Fail</v>
      </c>
      <c r="AH11" s="82">
        <f ca="1">IFERROR(__xludf.DUMMYFUNCTION("""COMPUTED_VALUE"""),1.02857142857142)</f>
        <v>1.02857142857142</v>
      </c>
      <c r="AI11" s="83">
        <f ca="1">IFERROR(__xludf.DUMMYFUNCTION("""COMPUTED_VALUE"""),3)</f>
        <v>3</v>
      </c>
      <c r="AJ11" s="75" t="str">
        <f ca="1">IFERROR(__xludf.DUMMYFUNCTION("""COMPUTED_VALUE"""),"Station Fail")</f>
        <v>Station Fail</v>
      </c>
      <c r="AK11" s="82">
        <f ca="1">IFERROR(__xludf.DUMMYFUNCTION("""COMPUTED_VALUE"""),1.875)</f>
        <v>1.875</v>
      </c>
      <c r="AL11" s="83">
        <f ca="1">IFERROR(__xludf.DUMMYFUNCTION("""COMPUTED_VALUE"""),4)</f>
        <v>4</v>
      </c>
      <c r="AM11" s="75" t="str">
        <f ca="1">IFERROR(__xludf.DUMMYFUNCTION("""COMPUTED_VALUE"""),"Pass")</f>
        <v>Pass</v>
      </c>
      <c r="AN11" s="82">
        <f ca="1">IFERROR(__xludf.DUMMYFUNCTION("""COMPUTED_VALUE"""),0.184615384615384)</f>
        <v>0.18461538461538399</v>
      </c>
      <c r="AO11" s="83">
        <f ca="1">IFERROR(__xludf.DUMMYFUNCTION("""COMPUTED_VALUE"""),1)</f>
        <v>1</v>
      </c>
      <c r="AP11" s="75" t="str">
        <f ca="1">IFERROR(__xludf.DUMMYFUNCTION("""COMPUTED_VALUE"""),"Station Fail")</f>
        <v>Station Fail</v>
      </c>
      <c r="AQ11" s="82"/>
      <c r="AR11" s="83"/>
      <c r="AS11" s="75"/>
      <c r="AT11" s="82"/>
      <c r="AU11" s="83"/>
      <c r="AV11" s="75"/>
      <c r="AW11" s="82"/>
      <c r="AX11" s="83"/>
      <c r="AY11" s="75"/>
      <c r="AZ11" s="82"/>
      <c r="BA11" s="83"/>
      <c r="BB11" s="75"/>
      <c r="BC11" s="82"/>
      <c r="BD11" s="83"/>
      <c r="BE11" s="75"/>
      <c r="BF11" s="82"/>
      <c r="BG11" s="83"/>
      <c r="BH11" s="75"/>
      <c r="BI11" s="46"/>
    </row>
    <row r="12" spans="1:61" ht="22.5" customHeight="1" x14ac:dyDescent="0.25">
      <c r="A12" s="46"/>
      <c r="B12" s="75"/>
      <c r="C12" s="75"/>
      <c r="D12" s="75"/>
      <c r="E12" s="75" t="str">
        <f ca="1">IFERROR(__xludf.DUMMYFUNCTION("""COMPUTED_VALUE"""),"G01")</f>
        <v>G01</v>
      </c>
      <c r="F12" s="76"/>
      <c r="G12" s="77">
        <f ca="1">IFERROR(__xludf.DUMMYFUNCTION("""COMPUTED_VALUE"""),0)</f>
        <v>0</v>
      </c>
      <c r="H12" s="78">
        <f ca="1">IFERROR(__xludf.DUMMYFUNCTION("""COMPUTED_VALUE"""),10)</f>
        <v>10</v>
      </c>
      <c r="I12" s="79">
        <f ca="1">IFERROR(__xludf.DUMMYFUNCTION("""COMPUTED_VALUE"""),0)</f>
        <v>0</v>
      </c>
      <c r="J12" s="264"/>
      <c r="K12" s="82">
        <f ca="1">IFERROR(__xludf.DUMMYFUNCTION("""COMPUTED_VALUE"""),19.92)</f>
        <v>19.920000000000002</v>
      </c>
      <c r="L12" s="81" t="str">
        <f ca="1">IFERROR(__xludf.DUMMYFUNCTION("""COMPUTED_VALUE"""),"Pass")</f>
        <v>Pass</v>
      </c>
      <c r="M12" s="82">
        <f ca="1">IFERROR(__xludf.DUMMYFUNCTION("""COMPUTED_VALUE"""),2.32499999999999)</f>
        <v>2.32499999999999</v>
      </c>
      <c r="N12" s="83">
        <f ca="1">IFERROR(__xludf.DUMMYFUNCTION("""COMPUTED_VALUE"""),4)</f>
        <v>4</v>
      </c>
      <c r="O12" s="75" t="str">
        <f ca="1">IFERROR(__xludf.DUMMYFUNCTION("""COMPUTED_VALUE"""),"Pass")</f>
        <v>Pass</v>
      </c>
      <c r="P12" s="82">
        <f ca="1">IFERROR(__xludf.DUMMYFUNCTION("""COMPUTED_VALUE"""),2.24516129032258)</f>
        <v>2.2451612903225802</v>
      </c>
      <c r="Q12" s="83">
        <f ca="1">IFERROR(__xludf.DUMMYFUNCTION("""COMPUTED_VALUE"""),5)</f>
        <v>5</v>
      </c>
      <c r="R12" s="75" t="str">
        <f ca="1">IFERROR(__xludf.DUMMYFUNCTION("""COMPUTED_VALUE"""),"Pass")</f>
        <v>Pass</v>
      </c>
      <c r="S12" s="82">
        <f ca="1">IFERROR(__xludf.DUMMYFUNCTION("""COMPUTED_VALUE"""),1.59999999999999)</f>
        <v>1.5999999999999901</v>
      </c>
      <c r="T12" s="83">
        <f ca="1">IFERROR(__xludf.DUMMYFUNCTION("""COMPUTED_VALUE"""),3)</f>
        <v>3</v>
      </c>
      <c r="U12" s="75" t="str">
        <f ca="1">IFERROR(__xludf.DUMMYFUNCTION("""COMPUTED_VALUE"""),"Pass")</f>
        <v>Pass</v>
      </c>
      <c r="V12" s="82">
        <f ca="1">IFERROR(__xludf.DUMMYFUNCTION("""COMPUTED_VALUE"""),2.4)</f>
        <v>2.4</v>
      </c>
      <c r="W12" s="83">
        <f ca="1">IFERROR(__xludf.DUMMYFUNCTION("""COMPUTED_VALUE"""),5)</f>
        <v>5</v>
      </c>
      <c r="X12" s="75" t="str">
        <f ca="1">IFERROR(__xludf.DUMMYFUNCTION("""COMPUTED_VALUE"""),"Pass")</f>
        <v>Pass</v>
      </c>
      <c r="Y12" s="82">
        <f ca="1">IFERROR(__xludf.DUMMYFUNCTION("""COMPUTED_VALUE"""),2.16)</f>
        <v>2.16</v>
      </c>
      <c r="Z12" s="83">
        <f ca="1">IFERROR(__xludf.DUMMYFUNCTION("""COMPUTED_VALUE"""),5)</f>
        <v>5</v>
      </c>
      <c r="AA12" s="75" t="str">
        <f ca="1">IFERROR(__xludf.DUMMYFUNCTION("""COMPUTED_VALUE"""),"Pass")</f>
        <v>Pass</v>
      </c>
      <c r="AB12" s="82">
        <f ca="1">IFERROR(__xludf.DUMMYFUNCTION("""COMPUTED_VALUE"""),2.3)</f>
        <v>2.2999999999999998</v>
      </c>
      <c r="AC12" s="83">
        <f ca="1">IFERROR(__xludf.DUMMYFUNCTION("""COMPUTED_VALUE"""),5)</f>
        <v>5</v>
      </c>
      <c r="AD12" s="75" t="str">
        <f ca="1">IFERROR(__xludf.DUMMYFUNCTION("""COMPUTED_VALUE"""),"Pass")</f>
        <v>Pass</v>
      </c>
      <c r="AE12" s="82">
        <f ca="1">IFERROR(__xludf.DUMMYFUNCTION("""COMPUTED_VALUE"""),1.536)</f>
        <v>1.536</v>
      </c>
      <c r="AF12" s="83">
        <f ca="1">IFERROR(__xludf.DUMMYFUNCTION("""COMPUTED_VALUE"""),3)</f>
        <v>3</v>
      </c>
      <c r="AG12" s="75" t="str">
        <f ca="1">IFERROR(__xludf.DUMMYFUNCTION("""COMPUTED_VALUE"""),"Pass")</f>
        <v>Pass</v>
      </c>
      <c r="AH12" s="82">
        <f ca="1">IFERROR(__xludf.DUMMYFUNCTION("""COMPUTED_VALUE"""),1.85142857142857)</f>
        <v>1.8514285714285701</v>
      </c>
      <c r="AI12" s="83">
        <f ca="1">IFERROR(__xludf.DUMMYFUNCTION("""COMPUTED_VALUE"""),4)</f>
        <v>4</v>
      </c>
      <c r="AJ12" s="75" t="str">
        <f ca="1">IFERROR(__xludf.DUMMYFUNCTION("""COMPUTED_VALUE"""),"Pass")</f>
        <v>Pass</v>
      </c>
      <c r="AK12" s="82">
        <f ca="1">IFERROR(__xludf.DUMMYFUNCTION("""COMPUTED_VALUE"""),2.025)</f>
        <v>2.0249999999999999</v>
      </c>
      <c r="AL12" s="83">
        <f ca="1">IFERROR(__xludf.DUMMYFUNCTION("""COMPUTED_VALUE"""),4)</f>
        <v>4</v>
      </c>
      <c r="AM12" s="75" t="str">
        <f ca="1">IFERROR(__xludf.DUMMYFUNCTION("""COMPUTED_VALUE"""),"Pass")</f>
        <v>Pass</v>
      </c>
      <c r="AN12" s="82">
        <f ca="1">IFERROR(__xludf.DUMMYFUNCTION("""COMPUTED_VALUE"""),1.47692307692307)</f>
        <v>1.4769230769230699</v>
      </c>
      <c r="AO12" s="83">
        <f ca="1">IFERROR(__xludf.DUMMYFUNCTION("""COMPUTED_VALUE"""),3)</f>
        <v>3</v>
      </c>
      <c r="AP12" s="75" t="str">
        <f ca="1">IFERROR(__xludf.DUMMYFUNCTION("""COMPUTED_VALUE"""),"Pass")</f>
        <v>Pass</v>
      </c>
      <c r="AQ12" s="82"/>
      <c r="AR12" s="83"/>
      <c r="AS12" s="75"/>
      <c r="AT12" s="82"/>
      <c r="AU12" s="83"/>
      <c r="AV12" s="75"/>
      <c r="AW12" s="82"/>
      <c r="AX12" s="83"/>
      <c r="AY12" s="75"/>
      <c r="AZ12" s="82"/>
      <c r="BA12" s="83"/>
      <c r="BB12" s="75"/>
      <c r="BC12" s="82"/>
      <c r="BD12" s="83"/>
      <c r="BE12" s="75"/>
      <c r="BF12" s="82"/>
      <c r="BG12" s="83"/>
      <c r="BH12" s="75"/>
      <c r="BI12" s="46"/>
    </row>
    <row r="13" spans="1:61" ht="22.5" customHeight="1" x14ac:dyDescent="0.25">
      <c r="A13" s="46"/>
      <c r="B13" s="75"/>
      <c r="C13" s="75"/>
      <c r="D13" s="75"/>
      <c r="E13" s="75" t="str">
        <f ca="1">IFERROR(__xludf.DUMMYFUNCTION("""COMPUTED_VALUE"""),"G01")</f>
        <v>G01</v>
      </c>
      <c r="F13" s="76"/>
      <c r="G13" s="77">
        <f ca="1">IFERROR(__xludf.DUMMYFUNCTION("""COMPUTED_VALUE"""),0)</f>
        <v>0</v>
      </c>
      <c r="H13" s="78">
        <f ca="1">IFERROR(__xludf.DUMMYFUNCTION("""COMPUTED_VALUE"""),10)</f>
        <v>10</v>
      </c>
      <c r="I13" s="79">
        <f ca="1">IFERROR(__xludf.DUMMYFUNCTION("""COMPUTED_VALUE"""),0)</f>
        <v>0</v>
      </c>
      <c r="J13" s="264"/>
      <c r="K13" s="82">
        <f ca="1">IFERROR(__xludf.DUMMYFUNCTION("""COMPUTED_VALUE"""),20.8)</f>
        <v>20.8</v>
      </c>
      <c r="L13" s="81" t="str">
        <f ca="1">IFERROR(__xludf.DUMMYFUNCTION("""COMPUTED_VALUE"""),"Pass")</f>
        <v>Pass</v>
      </c>
      <c r="M13" s="82">
        <f ca="1">IFERROR(__xludf.DUMMYFUNCTION("""COMPUTED_VALUE"""),2.175)</f>
        <v>2.1749999999999998</v>
      </c>
      <c r="N13" s="83">
        <f ca="1">IFERROR(__xludf.DUMMYFUNCTION("""COMPUTED_VALUE"""),4)</f>
        <v>4</v>
      </c>
      <c r="O13" s="75" t="str">
        <f ca="1">IFERROR(__xludf.DUMMYFUNCTION("""COMPUTED_VALUE"""),"Pass")</f>
        <v>Pass</v>
      </c>
      <c r="P13" s="82">
        <f ca="1">IFERROR(__xludf.DUMMYFUNCTION("""COMPUTED_VALUE"""),2.24516129032258)</f>
        <v>2.2451612903225802</v>
      </c>
      <c r="Q13" s="83">
        <f ca="1">IFERROR(__xludf.DUMMYFUNCTION("""COMPUTED_VALUE"""),5)</f>
        <v>5</v>
      </c>
      <c r="R13" s="75" t="str">
        <f ca="1">IFERROR(__xludf.DUMMYFUNCTION("""COMPUTED_VALUE"""),"Pass")</f>
        <v>Pass</v>
      </c>
      <c r="S13" s="82">
        <f ca="1">IFERROR(__xludf.DUMMYFUNCTION("""COMPUTED_VALUE"""),2.19999999999999)</f>
        <v>2.19999999999999</v>
      </c>
      <c r="T13" s="83">
        <f ca="1">IFERROR(__xludf.DUMMYFUNCTION("""COMPUTED_VALUE"""),4)</f>
        <v>4</v>
      </c>
      <c r="U13" s="75" t="str">
        <f ca="1">IFERROR(__xludf.DUMMYFUNCTION("""COMPUTED_VALUE"""),"Pass")</f>
        <v>Pass</v>
      </c>
      <c r="V13" s="82">
        <f ca="1">IFERROR(__xludf.DUMMYFUNCTION("""COMPUTED_VALUE"""),2.04)</f>
        <v>2.04</v>
      </c>
      <c r="W13" s="83">
        <f ca="1">IFERROR(__xludf.DUMMYFUNCTION("""COMPUTED_VALUE"""),5)</f>
        <v>5</v>
      </c>
      <c r="X13" s="75" t="str">
        <f ca="1">IFERROR(__xludf.DUMMYFUNCTION("""COMPUTED_VALUE"""),"Pass")</f>
        <v>Pass</v>
      </c>
      <c r="Y13" s="82">
        <f ca="1">IFERROR(__xludf.DUMMYFUNCTION("""COMPUTED_VALUE"""),2.16)</f>
        <v>2.16</v>
      </c>
      <c r="Z13" s="83">
        <f ca="1">IFERROR(__xludf.DUMMYFUNCTION("""COMPUTED_VALUE"""),5)</f>
        <v>5</v>
      </c>
      <c r="AA13" s="75" t="str">
        <f ca="1">IFERROR(__xludf.DUMMYFUNCTION("""COMPUTED_VALUE"""),"Pass")</f>
        <v>Pass</v>
      </c>
      <c r="AB13" s="82">
        <f ca="1">IFERROR(__xludf.DUMMYFUNCTION("""COMPUTED_VALUE"""),2.3)</f>
        <v>2.2999999999999998</v>
      </c>
      <c r="AC13" s="83">
        <f ca="1">IFERROR(__xludf.DUMMYFUNCTION("""COMPUTED_VALUE"""),5)</f>
        <v>5</v>
      </c>
      <c r="AD13" s="75" t="str">
        <f ca="1">IFERROR(__xludf.DUMMYFUNCTION("""COMPUTED_VALUE"""),"Pass")</f>
        <v>Pass</v>
      </c>
      <c r="AE13" s="82">
        <f ca="1">IFERROR(__xludf.DUMMYFUNCTION("""COMPUTED_VALUE"""),1.92)</f>
        <v>1.92</v>
      </c>
      <c r="AF13" s="83">
        <f ca="1">IFERROR(__xludf.DUMMYFUNCTION("""COMPUTED_VALUE"""),5)</f>
        <v>5</v>
      </c>
      <c r="AG13" s="75" t="str">
        <f ca="1">IFERROR(__xludf.DUMMYFUNCTION("""COMPUTED_VALUE"""),"Pass")</f>
        <v>Pass</v>
      </c>
      <c r="AH13" s="82">
        <f ca="1">IFERROR(__xludf.DUMMYFUNCTION("""COMPUTED_VALUE"""),1.44)</f>
        <v>1.44</v>
      </c>
      <c r="AI13" s="83">
        <f ca="1">IFERROR(__xludf.DUMMYFUNCTION("""COMPUTED_VALUE"""),4)</f>
        <v>4</v>
      </c>
      <c r="AJ13" s="75" t="str">
        <f ca="1">IFERROR(__xludf.DUMMYFUNCTION("""COMPUTED_VALUE"""),"Pass")</f>
        <v>Pass</v>
      </c>
      <c r="AK13" s="82">
        <f ca="1">IFERROR(__xludf.DUMMYFUNCTION("""COMPUTED_VALUE"""),2.1)</f>
        <v>2.1</v>
      </c>
      <c r="AL13" s="83">
        <f ca="1">IFERROR(__xludf.DUMMYFUNCTION("""COMPUTED_VALUE"""),5)</f>
        <v>5</v>
      </c>
      <c r="AM13" s="75" t="str">
        <f ca="1">IFERROR(__xludf.DUMMYFUNCTION("""COMPUTED_VALUE"""),"Pass")</f>
        <v>Pass</v>
      </c>
      <c r="AN13" s="82">
        <f ca="1">IFERROR(__xludf.DUMMYFUNCTION("""COMPUTED_VALUE"""),2.21538461538461)</f>
        <v>2.2153846153846102</v>
      </c>
      <c r="AO13" s="83">
        <f ca="1">IFERROR(__xludf.DUMMYFUNCTION("""COMPUTED_VALUE"""),3)</f>
        <v>3</v>
      </c>
      <c r="AP13" s="75" t="str">
        <f ca="1">IFERROR(__xludf.DUMMYFUNCTION("""COMPUTED_VALUE"""),"Pass")</f>
        <v>Pass</v>
      </c>
      <c r="AQ13" s="82"/>
      <c r="AR13" s="83"/>
      <c r="AS13" s="75"/>
      <c r="AT13" s="82"/>
      <c r="AU13" s="83"/>
      <c r="AV13" s="75"/>
      <c r="AW13" s="82"/>
      <c r="AX13" s="83"/>
      <c r="AY13" s="75"/>
      <c r="AZ13" s="82"/>
      <c r="BA13" s="83"/>
      <c r="BB13" s="75"/>
      <c r="BC13" s="82"/>
      <c r="BD13" s="83"/>
      <c r="BE13" s="75"/>
      <c r="BF13" s="82"/>
      <c r="BG13" s="83"/>
      <c r="BH13" s="75"/>
      <c r="BI13" s="46"/>
    </row>
    <row r="14" spans="1:61" ht="22.5" customHeight="1" x14ac:dyDescent="0.25">
      <c r="A14" s="46"/>
      <c r="B14" s="75"/>
      <c r="C14" s="75"/>
      <c r="D14" s="75"/>
      <c r="E14" s="75" t="str">
        <f ca="1">IFERROR(__xludf.DUMMYFUNCTION("""COMPUTED_VALUE"""),"G01")</f>
        <v>G01</v>
      </c>
      <c r="F14" s="76"/>
      <c r="G14" s="77">
        <f ca="1">IFERROR(__xludf.DUMMYFUNCTION("""COMPUTED_VALUE"""),0)</f>
        <v>0</v>
      </c>
      <c r="H14" s="78">
        <f ca="1">IFERROR(__xludf.DUMMYFUNCTION("""COMPUTED_VALUE"""),10)</f>
        <v>10</v>
      </c>
      <c r="I14" s="79">
        <f ca="1">IFERROR(__xludf.DUMMYFUNCTION("""COMPUTED_VALUE"""),0)</f>
        <v>0</v>
      </c>
      <c r="J14" s="264"/>
      <c r="K14" s="82">
        <f ca="1">IFERROR(__xludf.DUMMYFUNCTION("""COMPUTED_VALUE"""),20.04)</f>
        <v>20.04</v>
      </c>
      <c r="L14" s="81" t="str">
        <f ca="1">IFERROR(__xludf.DUMMYFUNCTION("""COMPUTED_VALUE"""),"Pass")</f>
        <v>Pass</v>
      </c>
      <c r="M14" s="82">
        <f ca="1">IFERROR(__xludf.DUMMYFUNCTION("""COMPUTED_VALUE"""),2.32499999999999)</f>
        <v>2.32499999999999</v>
      </c>
      <c r="N14" s="83">
        <f ca="1">IFERROR(__xludf.DUMMYFUNCTION("""COMPUTED_VALUE"""),5)</f>
        <v>5</v>
      </c>
      <c r="O14" s="75" t="str">
        <f ca="1">IFERROR(__xludf.DUMMYFUNCTION("""COMPUTED_VALUE"""),"Pass")</f>
        <v>Pass</v>
      </c>
      <c r="P14" s="82">
        <f ca="1">IFERROR(__xludf.DUMMYFUNCTION("""COMPUTED_VALUE"""),2.32258064516129)</f>
        <v>2.32258064516129</v>
      </c>
      <c r="Q14" s="83">
        <f ca="1">IFERROR(__xludf.DUMMYFUNCTION("""COMPUTED_VALUE"""),4)</f>
        <v>4</v>
      </c>
      <c r="R14" s="75" t="str">
        <f ca="1">IFERROR(__xludf.DUMMYFUNCTION("""COMPUTED_VALUE"""),"Pass")</f>
        <v>Pass</v>
      </c>
      <c r="S14" s="82">
        <f ca="1">IFERROR(__xludf.DUMMYFUNCTION("""COMPUTED_VALUE"""),2.1)</f>
        <v>2.1</v>
      </c>
      <c r="T14" s="83">
        <f ca="1">IFERROR(__xludf.DUMMYFUNCTION("""COMPUTED_VALUE"""),4)</f>
        <v>4</v>
      </c>
      <c r="U14" s="75" t="str">
        <f ca="1">IFERROR(__xludf.DUMMYFUNCTION("""COMPUTED_VALUE"""),"Pass")</f>
        <v>Pass</v>
      </c>
      <c r="V14" s="82">
        <f ca="1">IFERROR(__xludf.DUMMYFUNCTION("""COMPUTED_VALUE"""),1.56)</f>
        <v>1.56</v>
      </c>
      <c r="W14" s="83">
        <f ca="1">IFERROR(__xludf.DUMMYFUNCTION("""COMPUTED_VALUE"""),5)</f>
        <v>5</v>
      </c>
      <c r="X14" s="75" t="str">
        <f ca="1">IFERROR(__xludf.DUMMYFUNCTION("""COMPUTED_VALUE"""),"Pass")</f>
        <v>Pass</v>
      </c>
      <c r="Y14" s="82">
        <f ca="1">IFERROR(__xludf.DUMMYFUNCTION("""COMPUTED_VALUE"""),2.04)</f>
        <v>2.04</v>
      </c>
      <c r="Z14" s="83">
        <f ca="1">IFERROR(__xludf.DUMMYFUNCTION("""COMPUTED_VALUE"""),5)</f>
        <v>5</v>
      </c>
      <c r="AA14" s="75" t="str">
        <f ca="1">IFERROR(__xludf.DUMMYFUNCTION("""COMPUTED_VALUE"""),"Pass")</f>
        <v>Pass</v>
      </c>
      <c r="AB14" s="82">
        <f ca="1">IFERROR(__xludf.DUMMYFUNCTION("""COMPUTED_VALUE"""),2)</f>
        <v>2</v>
      </c>
      <c r="AC14" s="83">
        <f ca="1">IFERROR(__xludf.DUMMYFUNCTION("""COMPUTED_VALUE"""),4)</f>
        <v>4</v>
      </c>
      <c r="AD14" s="75" t="str">
        <f ca="1">IFERROR(__xludf.DUMMYFUNCTION("""COMPUTED_VALUE"""),"Pass")</f>
        <v>Pass</v>
      </c>
      <c r="AE14" s="82">
        <f ca="1">IFERROR(__xludf.DUMMYFUNCTION("""COMPUTED_VALUE"""),1.632)</f>
        <v>1.6319999999999999</v>
      </c>
      <c r="AF14" s="83">
        <f ca="1">IFERROR(__xludf.DUMMYFUNCTION("""COMPUTED_VALUE"""),4)</f>
        <v>4</v>
      </c>
      <c r="AG14" s="75" t="str">
        <f ca="1">IFERROR(__xludf.DUMMYFUNCTION("""COMPUTED_VALUE"""),"Pass")</f>
        <v>Pass</v>
      </c>
      <c r="AH14" s="82">
        <f ca="1">IFERROR(__xludf.DUMMYFUNCTION("""COMPUTED_VALUE"""),1.85142857142857)</f>
        <v>1.8514285714285701</v>
      </c>
      <c r="AI14" s="83">
        <f ca="1">IFERROR(__xludf.DUMMYFUNCTION("""COMPUTED_VALUE"""),4)</f>
        <v>4</v>
      </c>
      <c r="AJ14" s="75" t="str">
        <f ca="1">IFERROR(__xludf.DUMMYFUNCTION("""COMPUTED_VALUE"""),"Pass")</f>
        <v>Pass</v>
      </c>
      <c r="AK14" s="82">
        <f ca="1">IFERROR(__xludf.DUMMYFUNCTION("""COMPUTED_VALUE"""),2.175)</f>
        <v>2.1749999999999998</v>
      </c>
      <c r="AL14" s="83">
        <f ca="1">IFERROR(__xludf.DUMMYFUNCTION("""COMPUTED_VALUE"""),5)</f>
        <v>5</v>
      </c>
      <c r="AM14" s="75" t="str">
        <f ca="1">IFERROR(__xludf.DUMMYFUNCTION("""COMPUTED_VALUE"""),"Pass")</f>
        <v>Pass</v>
      </c>
      <c r="AN14" s="82">
        <f ca="1">IFERROR(__xludf.DUMMYFUNCTION("""COMPUTED_VALUE"""),2.03076923076923)</f>
        <v>2.0307692307692302</v>
      </c>
      <c r="AO14" s="83">
        <f ca="1">IFERROR(__xludf.DUMMYFUNCTION("""COMPUTED_VALUE"""),3)</f>
        <v>3</v>
      </c>
      <c r="AP14" s="75" t="str">
        <f ca="1">IFERROR(__xludf.DUMMYFUNCTION("""COMPUTED_VALUE"""),"Pass")</f>
        <v>Pass</v>
      </c>
      <c r="AQ14" s="82"/>
      <c r="AR14" s="83"/>
      <c r="AS14" s="75"/>
      <c r="AT14" s="82"/>
      <c r="AU14" s="83"/>
      <c r="AV14" s="75"/>
      <c r="AW14" s="82"/>
      <c r="AX14" s="83"/>
      <c r="AY14" s="75"/>
      <c r="AZ14" s="82"/>
      <c r="BA14" s="83"/>
      <c r="BB14" s="75"/>
      <c r="BC14" s="82"/>
      <c r="BD14" s="83"/>
      <c r="BE14" s="75"/>
      <c r="BF14" s="82"/>
      <c r="BG14" s="83"/>
      <c r="BH14" s="75"/>
      <c r="BI14" s="46"/>
    </row>
    <row r="15" spans="1:61" ht="22.5" customHeight="1" x14ac:dyDescent="0.25">
      <c r="A15" s="46"/>
      <c r="B15" s="75"/>
      <c r="C15" s="75"/>
      <c r="D15" s="75"/>
      <c r="E15" s="75" t="str">
        <f ca="1">IFERROR(__xludf.DUMMYFUNCTION("""COMPUTED_VALUE"""),"G01")</f>
        <v>G01</v>
      </c>
      <c r="F15" s="76"/>
      <c r="G15" s="77">
        <f ca="1">IFERROR(__xludf.DUMMYFUNCTION("""COMPUTED_VALUE"""),0)</f>
        <v>0</v>
      </c>
      <c r="H15" s="78">
        <f ca="1">IFERROR(__xludf.DUMMYFUNCTION("""COMPUTED_VALUE"""),10)</f>
        <v>10</v>
      </c>
      <c r="I15" s="79">
        <f ca="1">IFERROR(__xludf.DUMMYFUNCTION("""COMPUTED_VALUE"""),0)</f>
        <v>0</v>
      </c>
      <c r="J15" s="264"/>
      <c r="K15" s="82">
        <f ca="1">IFERROR(__xludf.DUMMYFUNCTION("""COMPUTED_VALUE"""),20.33)</f>
        <v>20.329999999999998</v>
      </c>
      <c r="L15" s="81" t="str">
        <f ca="1">IFERROR(__xludf.DUMMYFUNCTION("""COMPUTED_VALUE"""),"Pass")</f>
        <v>Pass</v>
      </c>
      <c r="M15" s="82">
        <f ca="1">IFERROR(__xludf.DUMMYFUNCTION("""COMPUTED_VALUE"""),2.25)</f>
        <v>2.25</v>
      </c>
      <c r="N15" s="83">
        <f ca="1">IFERROR(__xludf.DUMMYFUNCTION("""COMPUTED_VALUE"""),5)</f>
        <v>5</v>
      </c>
      <c r="O15" s="75" t="str">
        <f ca="1">IFERROR(__xludf.DUMMYFUNCTION("""COMPUTED_VALUE"""),"Pass")</f>
        <v>Pass</v>
      </c>
      <c r="P15" s="82">
        <f ca="1">IFERROR(__xludf.DUMMYFUNCTION("""COMPUTED_VALUE"""),2.32258064516129)</f>
        <v>2.32258064516129</v>
      </c>
      <c r="Q15" s="83">
        <f ca="1">IFERROR(__xludf.DUMMYFUNCTION("""COMPUTED_VALUE"""),5)</f>
        <v>5</v>
      </c>
      <c r="R15" s="75" t="str">
        <f ca="1">IFERROR(__xludf.DUMMYFUNCTION("""COMPUTED_VALUE"""),"Pass")</f>
        <v>Pass</v>
      </c>
      <c r="S15" s="82">
        <f ca="1">IFERROR(__xludf.DUMMYFUNCTION("""COMPUTED_VALUE"""),2)</f>
        <v>2</v>
      </c>
      <c r="T15" s="83">
        <f ca="1">IFERROR(__xludf.DUMMYFUNCTION("""COMPUTED_VALUE"""),4)</f>
        <v>4</v>
      </c>
      <c r="U15" s="75" t="str">
        <f ca="1">IFERROR(__xludf.DUMMYFUNCTION("""COMPUTED_VALUE"""),"Pass")</f>
        <v>Pass</v>
      </c>
      <c r="V15" s="82">
        <f ca="1">IFERROR(__xludf.DUMMYFUNCTION("""COMPUTED_VALUE"""),2.28)</f>
        <v>2.2799999999999998</v>
      </c>
      <c r="W15" s="83">
        <f ca="1">IFERROR(__xludf.DUMMYFUNCTION("""COMPUTED_VALUE"""),5)</f>
        <v>5</v>
      </c>
      <c r="X15" s="75" t="str">
        <f ca="1">IFERROR(__xludf.DUMMYFUNCTION("""COMPUTED_VALUE"""),"Pass")</f>
        <v>Pass</v>
      </c>
      <c r="Y15" s="82">
        <f ca="1">IFERROR(__xludf.DUMMYFUNCTION("""COMPUTED_VALUE"""),2.28)</f>
        <v>2.2799999999999998</v>
      </c>
      <c r="Z15" s="83">
        <f ca="1">IFERROR(__xludf.DUMMYFUNCTION("""COMPUTED_VALUE"""),5)</f>
        <v>5</v>
      </c>
      <c r="AA15" s="75" t="str">
        <f ca="1">IFERROR(__xludf.DUMMYFUNCTION("""COMPUTED_VALUE"""),"Pass")</f>
        <v>Pass</v>
      </c>
      <c r="AB15" s="82">
        <f ca="1">IFERROR(__xludf.DUMMYFUNCTION("""COMPUTED_VALUE"""),1.9)</f>
        <v>1.9</v>
      </c>
      <c r="AC15" s="83">
        <f ca="1">IFERROR(__xludf.DUMMYFUNCTION("""COMPUTED_VALUE"""),4)</f>
        <v>4</v>
      </c>
      <c r="AD15" s="75" t="str">
        <f ca="1">IFERROR(__xludf.DUMMYFUNCTION("""COMPUTED_VALUE"""),"Pass")</f>
        <v>Pass</v>
      </c>
      <c r="AE15" s="82">
        <f ca="1">IFERROR(__xludf.DUMMYFUNCTION("""COMPUTED_VALUE"""),1.728)</f>
        <v>1.728</v>
      </c>
      <c r="AF15" s="83">
        <f ca="1">IFERROR(__xludf.DUMMYFUNCTION("""COMPUTED_VALUE"""),4)</f>
        <v>4</v>
      </c>
      <c r="AG15" s="75" t="str">
        <f ca="1">IFERROR(__xludf.DUMMYFUNCTION("""COMPUTED_VALUE"""),"Pass")</f>
        <v>Pass</v>
      </c>
      <c r="AH15" s="82">
        <f ca="1">IFERROR(__xludf.DUMMYFUNCTION("""COMPUTED_VALUE"""),1.92)</f>
        <v>1.92</v>
      </c>
      <c r="AI15" s="83">
        <f ca="1">IFERROR(__xludf.DUMMYFUNCTION("""COMPUTED_VALUE"""),5)</f>
        <v>5</v>
      </c>
      <c r="AJ15" s="75" t="str">
        <f ca="1">IFERROR(__xludf.DUMMYFUNCTION("""COMPUTED_VALUE"""),"Pass")</f>
        <v>Pass</v>
      </c>
      <c r="AK15" s="82">
        <f ca="1">IFERROR(__xludf.DUMMYFUNCTION("""COMPUTED_VALUE"""),2.175)</f>
        <v>2.1749999999999998</v>
      </c>
      <c r="AL15" s="83">
        <f ca="1">IFERROR(__xludf.DUMMYFUNCTION("""COMPUTED_VALUE"""),5)</f>
        <v>5</v>
      </c>
      <c r="AM15" s="75" t="str">
        <f ca="1">IFERROR(__xludf.DUMMYFUNCTION("""COMPUTED_VALUE"""),"Pass")</f>
        <v>Pass</v>
      </c>
      <c r="AN15" s="82">
        <f ca="1">IFERROR(__xludf.DUMMYFUNCTION("""COMPUTED_VALUE"""),1.47692307692307)</f>
        <v>1.4769230769230699</v>
      </c>
      <c r="AO15" s="83">
        <f ca="1">IFERROR(__xludf.DUMMYFUNCTION("""COMPUTED_VALUE"""),3)</f>
        <v>3</v>
      </c>
      <c r="AP15" s="75" t="str">
        <f ca="1">IFERROR(__xludf.DUMMYFUNCTION("""COMPUTED_VALUE"""),"Pass")</f>
        <v>Pass</v>
      </c>
      <c r="AQ15" s="82"/>
      <c r="AR15" s="83"/>
      <c r="AS15" s="75"/>
      <c r="AT15" s="82"/>
      <c r="AU15" s="83"/>
      <c r="AV15" s="75"/>
      <c r="AW15" s="82"/>
      <c r="AX15" s="83"/>
      <c r="AY15" s="75"/>
      <c r="AZ15" s="82"/>
      <c r="BA15" s="83"/>
      <c r="BB15" s="75"/>
      <c r="BC15" s="82"/>
      <c r="BD15" s="83"/>
      <c r="BE15" s="75"/>
      <c r="BF15" s="82"/>
      <c r="BG15" s="83"/>
      <c r="BH15" s="75"/>
      <c r="BI15" s="46"/>
    </row>
    <row r="16" spans="1:61" ht="22.5" customHeight="1" x14ac:dyDescent="0.25">
      <c r="A16" s="46"/>
      <c r="B16" s="75"/>
      <c r="C16" s="75"/>
      <c r="D16" s="75"/>
      <c r="E16" s="75" t="str">
        <f ca="1">IFERROR(__xludf.DUMMYFUNCTION("""COMPUTED_VALUE"""),"G01")</f>
        <v>G01</v>
      </c>
      <c r="F16" s="76"/>
      <c r="G16" s="77">
        <f ca="1">IFERROR(__xludf.DUMMYFUNCTION("""COMPUTED_VALUE"""),0)</f>
        <v>0</v>
      </c>
      <c r="H16" s="78">
        <f ca="1">IFERROR(__xludf.DUMMYFUNCTION("""COMPUTED_VALUE"""),10)</f>
        <v>10</v>
      </c>
      <c r="I16" s="79">
        <f ca="1">IFERROR(__xludf.DUMMYFUNCTION("""COMPUTED_VALUE"""),1)</f>
        <v>1</v>
      </c>
      <c r="J16" s="264"/>
      <c r="K16" s="82">
        <f ca="1">IFERROR(__xludf.DUMMYFUNCTION("""COMPUTED_VALUE"""),17.44)</f>
        <v>17.440000000000001</v>
      </c>
      <c r="L16" s="81" t="str">
        <f ca="1">IFERROR(__xludf.DUMMYFUNCTION("""COMPUTED_VALUE"""),"Pass")</f>
        <v>Pass</v>
      </c>
      <c r="M16" s="82">
        <f ca="1">IFERROR(__xludf.DUMMYFUNCTION("""COMPUTED_VALUE"""),1.575)</f>
        <v>1.575</v>
      </c>
      <c r="N16" s="83">
        <f ca="1">IFERROR(__xludf.DUMMYFUNCTION("""COMPUTED_VALUE"""),3)</f>
        <v>3</v>
      </c>
      <c r="O16" s="75" t="str">
        <f ca="1">IFERROR(__xludf.DUMMYFUNCTION("""COMPUTED_VALUE"""),"Pass")</f>
        <v>Pass</v>
      </c>
      <c r="P16" s="82">
        <f ca="1">IFERROR(__xludf.DUMMYFUNCTION("""COMPUTED_VALUE"""),1.78064516129032)</f>
        <v>1.78064516129032</v>
      </c>
      <c r="Q16" s="83">
        <f ca="1">IFERROR(__xludf.DUMMYFUNCTION("""COMPUTED_VALUE"""),4)</f>
        <v>4</v>
      </c>
      <c r="R16" s="75" t="str">
        <f ca="1">IFERROR(__xludf.DUMMYFUNCTION("""COMPUTED_VALUE"""),"Pass")</f>
        <v>Pass</v>
      </c>
      <c r="S16" s="82">
        <f ca="1">IFERROR(__xludf.DUMMYFUNCTION("""COMPUTED_VALUE"""),2.19999999999999)</f>
        <v>2.19999999999999</v>
      </c>
      <c r="T16" s="83">
        <f ca="1">IFERROR(__xludf.DUMMYFUNCTION("""COMPUTED_VALUE"""),4)</f>
        <v>4</v>
      </c>
      <c r="U16" s="75" t="str">
        <f ca="1">IFERROR(__xludf.DUMMYFUNCTION("""COMPUTED_VALUE"""),"Pass")</f>
        <v>Pass</v>
      </c>
      <c r="V16" s="82">
        <f ca="1">IFERROR(__xludf.DUMMYFUNCTION("""COMPUTED_VALUE"""),2.04)</f>
        <v>2.04</v>
      </c>
      <c r="W16" s="83">
        <f ca="1">IFERROR(__xludf.DUMMYFUNCTION("""COMPUTED_VALUE"""),4)</f>
        <v>4</v>
      </c>
      <c r="X16" s="75" t="str">
        <f ca="1">IFERROR(__xludf.DUMMYFUNCTION("""COMPUTED_VALUE"""),"Pass")</f>
        <v>Pass</v>
      </c>
      <c r="Y16" s="82">
        <f ca="1">IFERROR(__xludf.DUMMYFUNCTION("""COMPUTED_VALUE"""),1.68)</f>
        <v>1.68</v>
      </c>
      <c r="Z16" s="83">
        <f ca="1">IFERROR(__xludf.DUMMYFUNCTION("""COMPUTED_VALUE"""),4)</f>
        <v>4</v>
      </c>
      <c r="AA16" s="75" t="str">
        <f ca="1">IFERROR(__xludf.DUMMYFUNCTION("""COMPUTED_VALUE"""),"Pass")</f>
        <v>Pass</v>
      </c>
      <c r="AB16" s="82">
        <f ca="1">IFERROR(__xludf.DUMMYFUNCTION("""COMPUTED_VALUE"""),1.7)</f>
        <v>1.7</v>
      </c>
      <c r="AC16" s="83">
        <f ca="1">IFERROR(__xludf.DUMMYFUNCTION("""COMPUTED_VALUE"""),3)</f>
        <v>3</v>
      </c>
      <c r="AD16" s="75" t="str">
        <f ca="1">IFERROR(__xludf.DUMMYFUNCTION("""COMPUTED_VALUE"""),"Pass")</f>
        <v>Pass</v>
      </c>
      <c r="AE16" s="82">
        <f ca="1">IFERROR(__xludf.DUMMYFUNCTION("""COMPUTED_VALUE"""),1.632)</f>
        <v>1.6319999999999999</v>
      </c>
      <c r="AF16" s="83">
        <f ca="1">IFERROR(__xludf.DUMMYFUNCTION("""COMPUTED_VALUE"""),3)</f>
        <v>3</v>
      </c>
      <c r="AG16" s="75" t="str">
        <f ca="1">IFERROR(__xludf.DUMMYFUNCTION("""COMPUTED_VALUE"""),"Pass")</f>
        <v>Pass</v>
      </c>
      <c r="AH16" s="82">
        <f ca="1">IFERROR(__xludf.DUMMYFUNCTION("""COMPUTED_VALUE"""),1.02857142857142)</f>
        <v>1.02857142857142</v>
      </c>
      <c r="AI16" s="83">
        <f ca="1">IFERROR(__xludf.DUMMYFUNCTION("""COMPUTED_VALUE"""),3)</f>
        <v>3</v>
      </c>
      <c r="AJ16" s="75" t="str">
        <f ca="1">IFERROR(__xludf.DUMMYFUNCTION("""COMPUTED_VALUE"""),"Station Fail")</f>
        <v>Station Fail</v>
      </c>
      <c r="AK16" s="82">
        <f ca="1">IFERROR(__xludf.DUMMYFUNCTION("""COMPUTED_VALUE"""),2.32499999999999)</f>
        <v>2.32499999999999</v>
      </c>
      <c r="AL16" s="83">
        <f ca="1">IFERROR(__xludf.DUMMYFUNCTION("""COMPUTED_VALUE"""),4)</f>
        <v>4</v>
      </c>
      <c r="AM16" s="75" t="str">
        <f ca="1">IFERROR(__xludf.DUMMYFUNCTION("""COMPUTED_VALUE"""),"Pass")</f>
        <v>Pass</v>
      </c>
      <c r="AN16" s="82">
        <f ca="1">IFERROR(__xludf.DUMMYFUNCTION("""COMPUTED_VALUE"""),1.47692307692307)</f>
        <v>1.4769230769230699</v>
      </c>
      <c r="AO16" s="83">
        <f ca="1">IFERROR(__xludf.DUMMYFUNCTION("""COMPUTED_VALUE"""),2)</f>
        <v>2</v>
      </c>
      <c r="AP16" s="75" t="str">
        <f ca="1">IFERROR(__xludf.DUMMYFUNCTION("""COMPUTED_VALUE"""),"Pass")</f>
        <v>Pass</v>
      </c>
      <c r="AQ16" s="82"/>
      <c r="AR16" s="83"/>
      <c r="AS16" s="75"/>
      <c r="AT16" s="82"/>
      <c r="AU16" s="83"/>
      <c r="AV16" s="75"/>
      <c r="AW16" s="82"/>
      <c r="AX16" s="83"/>
      <c r="AY16" s="75"/>
      <c r="AZ16" s="82"/>
      <c r="BA16" s="83"/>
      <c r="BB16" s="75"/>
      <c r="BC16" s="82"/>
      <c r="BD16" s="83"/>
      <c r="BE16" s="75"/>
      <c r="BF16" s="82"/>
      <c r="BG16" s="83"/>
      <c r="BH16" s="75"/>
      <c r="BI16" s="46"/>
    </row>
    <row r="17" spans="1:61" ht="22.5" customHeight="1" x14ac:dyDescent="0.25">
      <c r="A17" s="46"/>
      <c r="B17" s="75"/>
      <c r="C17" s="75"/>
      <c r="D17" s="75"/>
      <c r="E17" s="75" t="str">
        <f ca="1">IFERROR(__xludf.DUMMYFUNCTION("""COMPUTED_VALUE"""),"G01")</f>
        <v>G01</v>
      </c>
      <c r="F17" s="76"/>
      <c r="G17" s="77">
        <f ca="1">IFERROR(__xludf.DUMMYFUNCTION("""COMPUTED_VALUE"""),0)</f>
        <v>0</v>
      </c>
      <c r="H17" s="78">
        <f ca="1">IFERROR(__xludf.DUMMYFUNCTION("""COMPUTED_VALUE"""),10)</f>
        <v>10</v>
      </c>
      <c r="I17" s="79">
        <f ca="1">IFERROR(__xludf.DUMMYFUNCTION("""COMPUTED_VALUE"""),5)</f>
        <v>5</v>
      </c>
      <c r="J17" s="264"/>
      <c r="K17" s="82">
        <f ca="1">IFERROR(__xludf.DUMMYFUNCTION("""COMPUTED_VALUE"""),13.69)</f>
        <v>13.69</v>
      </c>
      <c r="L17" s="81" t="str">
        <f ca="1">IFERROR(__xludf.DUMMYFUNCTION("""COMPUTED_VALUE"""),"Fail")</f>
        <v>Fail</v>
      </c>
      <c r="M17" s="82">
        <f ca="1">IFERROR(__xludf.DUMMYFUNCTION("""COMPUTED_VALUE"""),1.275)</f>
        <v>1.2749999999999999</v>
      </c>
      <c r="N17" s="83">
        <f ca="1">IFERROR(__xludf.DUMMYFUNCTION("""COMPUTED_VALUE"""),2)</f>
        <v>2</v>
      </c>
      <c r="O17" s="75" t="str">
        <f ca="1">IFERROR(__xludf.DUMMYFUNCTION("""COMPUTED_VALUE"""),"Station Fail")</f>
        <v>Station Fail</v>
      </c>
      <c r="P17" s="82">
        <f ca="1">IFERROR(__xludf.DUMMYFUNCTION("""COMPUTED_VALUE"""),1.85806451612903)</f>
        <v>1.8580645161290299</v>
      </c>
      <c r="Q17" s="83">
        <f ca="1">IFERROR(__xludf.DUMMYFUNCTION("""COMPUTED_VALUE"""),4)</f>
        <v>4</v>
      </c>
      <c r="R17" s="75" t="str">
        <f ca="1">IFERROR(__xludf.DUMMYFUNCTION("""COMPUTED_VALUE"""),"Pass")</f>
        <v>Pass</v>
      </c>
      <c r="S17" s="82">
        <f ca="1">IFERROR(__xludf.DUMMYFUNCTION("""COMPUTED_VALUE"""),1.09999999999999)</f>
        <v>1.0999999999999901</v>
      </c>
      <c r="T17" s="83">
        <f ca="1">IFERROR(__xludf.DUMMYFUNCTION("""COMPUTED_VALUE"""),2)</f>
        <v>2</v>
      </c>
      <c r="U17" s="75" t="str">
        <f ca="1">IFERROR(__xludf.DUMMYFUNCTION("""COMPUTED_VALUE"""),"Station Fail")</f>
        <v>Station Fail</v>
      </c>
      <c r="V17" s="82">
        <f ca="1">IFERROR(__xludf.DUMMYFUNCTION("""COMPUTED_VALUE"""),2.28)</f>
        <v>2.2799999999999998</v>
      </c>
      <c r="W17" s="83">
        <f ca="1">IFERROR(__xludf.DUMMYFUNCTION("""COMPUTED_VALUE"""),4)</f>
        <v>4</v>
      </c>
      <c r="X17" s="75" t="str">
        <f ca="1">IFERROR(__xludf.DUMMYFUNCTION("""COMPUTED_VALUE"""),"Pass")</f>
        <v>Pass</v>
      </c>
      <c r="Y17" s="82">
        <f ca="1">IFERROR(__xludf.DUMMYFUNCTION("""COMPUTED_VALUE"""),2.04)</f>
        <v>2.04</v>
      </c>
      <c r="Z17" s="83">
        <f ca="1">IFERROR(__xludf.DUMMYFUNCTION("""COMPUTED_VALUE"""),5)</f>
        <v>5</v>
      </c>
      <c r="AA17" s="75" t="str">
        <f ca="1">IFERROR(__xludf.DUMMYFUNCTION("""COMPUTED_VALUE"""),"Pass")</f>
        <v>Pass</v>
      </c>
      <c r="AB17" s="82">
        <f ca="1">IFERROR(__xludf.DUMMYFUNCTION("""COMPUTED_VALUE"""),0.7)</f>
        <v>0.7</v>
      </c>
      <c r="AC17" s="83">
        <f ca="1">IFERROR(__xludf.DUMMYFUNCTION("""COMPUTED_VALUE"""),2)</f>
        <v>2</v>
      </c>
      <c r="AD17" s="75" t="str">
        <f ca="1">IFERROR(__xludf.DUMMYFUNCTION("""COMPUTED_VALUE"""),"Station Fail")</f>
        <v>Station Fail</v>
      </c>
      <c r="AE17" s="82">
        <f ca="1">IFERROR(__xludf.DUMMYFUNCTION("""COMPUTED_VALUE"""),1.92)</f>
        <v>1.92</v>
      </c>
      <c r="AF17" s="83">
        <f ca="1">IFERROR(__xludf.DUMMYFUNCTION("""COMPUTED_VALUE"""),4)</f>
        <v>4</v>
      </c>
      <c r="AG17" s="75" t="str">
        <f ca="1">IFERROR(__xludf.DUMMYFUNCTION("""COMPUTED_VALUE"""),"Pass")</f>
        <v>Pass</v>
      </c>
      <c r="AH17" s="82">
        <f ca="1">IFERROR(__xludf.DUMMYFUNCTION("""COMPUTED_VALUE"""),0.685714285714285)</f>
        <v>0.68571428571428505</v>
      </c>
      <c r="AI17" s="83">
        <f ca="1">IFERROR(__xludf.DUMMYFUNCTION("""COMPUTED_VALUE"""),2)</f>
        <v>2</v>
      </c>
      <c r="AJ17" s="75" t="str">
        <f ca="1">IFERROR(__xludf.DUMMYFUNCTION("""COMPUTED_VALUE"""),"Station Fail")</f>
        <v>Station Fail</v>
      </c>
      <c r="AK17" s="82">
        <f ca="1">IFERROR(__xludf.DUMMYFUNCTION("""COMPUTED_VALUE"""),1.65)</f>
        <v>1.65</v>
      </c>
      <c r="AL17" s="83">
        <f ca="1">IFERROR(__xludf.DUMMYFUNCTION("""COMPUTED_VALUE"""),4)</f>
        <v>4</v>
      </c>
      <c r="AM17" s="75" t="str">
        <f ca="1">IFERROR(__xludf.DUMMYFUNCTION("""COMPUTED_VALUE"""),"Pass")</f>
        <v>Pass</v>
      </c>
      <c r="AN17" s="82">
        <f ca="1">IFERROR(__xludf.DUMMYFUNCTION("""COMPUTED_VALUE"""),0.184615384615384)</f>
        <v>0.18461538461538399</v>
      </c>
      <c r="AO17" s="83">
        <f ca="1">IFERROR(__xludf.DUMMYFUNCTION("""COMPUTED_VALUE"""),1)</f>
        <v>1</v>
      </c>
      <c r="AP17" s="75" t="str">
        <f ca="1">IFERROR(__xludf.DUMMYFUNCTION("""COMPUTED_VALUE"""),"Station Fail")</f>
        <v>Station Fail</v>
      </c>
      <c r="AQ17" s="82"/>
      <c r="AR17" s="83"/>
      <c r="AS17" s="75"/>
      <c r="AT17" s="82"/>
      <c r="AU17" s="83"/>
      <c r="AV17" s="75"/>
      <c r="AW17" s="82"/>
      <c r="AX17" s="83"/>
      <c r="AY17" s="75"/>
      <c r="AZ17" s="82"/>
      <c r="BA17" s="83"/>
      <c r="BB17" s="75"/>
      <c r="BC17" s="82"/>
      <c r="BD17" s="83"/>
      <c r="BE17" s="75"/>
      <c r="BF17" s="82"/>
      <c r="BG17" s="83"/>
      <c r="BH17" s="75"/>
      <c r="BI17" s="46"/>
    </row>
    <row r="18" spans="1:61" ht="22.5" customHeight="1" x14ac:dyDescent="0.25">
      <c r="A18" s="46"/>
      <c r="B18" s="75"/>
      <c r="C18" s="75"/>
      <c r="D18" s="75"/>
      <c r="E18" s="75" t="str">
        <f ca="1">IFERROR(__xludf.DUMMYFUNCTION("""COMPUTED_VALUE"""),"G02")</f>
        <v>G02</v>
      </c>
      <c r="F18" s="76"/>
      <c r="G18" s="77">
        <f ca="1">IFERROR(__xludf.DUMMYFUNCTION("""COMPUTED_VALUE"""),0)</f>
        <v>0</v>
      </c>
      <c r="H18" s="78">
        <f ca="1">IFERROR(__xludf.DUMMYFUNCTION("""COMPUTED_VALUE"""),10)</f>
        <v>10</v>
      </c>
      <c r="I18" s="79">
        <f ca="1">IFERROR(__xludf.DUMMYFUNCTION("""COMPUTED_VALUE"""),3)</f>
        <v>3</v>
      </c>
      <c r="J18" s="264"/>
      <c r="K18" s="82">
        <f ca="1">IFERROR(__xludf.DUMMYFUNCTION("""COMPUTED_VALUE"""),17.04)</f>
        <v>17.04</v>
      </c>
      <c r="L18" s="81" t="str">
        <f ca="1">IFERROR(__xludf.DUMMYFUNCTION("""COMPUTED_VALUE"""),"Pass")</f>
        <v>Pass</v>
      </c>
      <c r="M18" s="82">
        <f ca="1">IFERROR(__xludf.DUMMYFUNCTION("""COMPUTED_VALUE"""),1.575)</f>
        <v>1.575</v>
      </c>
      <c r="N18" s="83">
        <f ca="1">IFERROR(__xludf.DUMMYFUNCTION("""COMPUTED_VALUE"""),3)</f>
        <v>3</v>
      </c>
      <c r="O18" s="75" t="str">
        <f ca="1">IFERROR(__xludf.DUMMYFUNCTION("""COMPUTED_VALUE"""),"Pass")</f>
        <v>Pass</v>
      </c>
      <c r="P18" s="82">
        <f ca="1">IFERROR(__xludf.DUMMYFUNCTION("""COMPUTED_VALUE"""),2.16774193548387)</f>
        <v>2.1677419354838698</v>
      </c>
      <c r="Q18" s="83">
        <f ca="1">IFERROR(__xludf.DUMMYFUNCTION("""COMPUTED_VALUE"""),4)</f>
        <v>4</v>
      </c>
      <c r="R18" s="75" t="str">
        <f ca="1">IFERROR(__xludf.DUMMYFUNCTION("""COMPUTED_VALUE"""),"Pass")</f>
        <v>Pass</v>
      </c>
      <c r="S18" s="82">
        <f ca="1">IFERROR(__xludf.DUMMYFUNCTION("""COMPUTED_VALUE"""),2.1)</f>
        <v>2.1</v>
      </c>
      <c r="T18" s="83">
        <f ca="1">IFERROR(__xludf.DUMMYFUNCTION("""COMPUTED_VALUE"""),4)</f>
        <v>4</v>
      </c>
      <c r="U18" s="75" t="str">
        <f ca="1">IFERROR(__xludf.DUMMYFUNCTION("""COMPUTED_VALUE"""),"Pass")</f>
        <v>Pass</v>
      </c>
      <c r="V18" s="82">
        <f ca="1">IFERROR(__xludf.DUMMYFUNCTION("""COMPUTED_VALUE"""),2.04)</f>
        <v>2.04</v>
      </c>
      <c r="W18" s="83">
        <f ca="1">IFERROR(__xludf.DUMMYFUNCTION("""COMPUTED_VALUE"""),5)</f>
        <v>5</v>
      </c>
      <c r="X18" s="75" t="str">
        <f ca="1">IFERROR(__xludf.DUMMYFUNCTION("""COMPUTED_VALUE"""),"Pass")</f>
        <v>Pass</v>
      </c>
      <c r="Y18" s="82">
        <f ca="1">IFERROR(__xludf.DUMMYFUNCTION("""COMPUTED_VALUE"""),1.68)</f>
        <v>1.68</v>
      </c>
      <c r="Z18" s="83">
        <f ca="1">IFERROR(__xludf.DUMMYFUNCTION("""COMPUTED_VALUE"""),4)</f>
        <v>4</v>
      </c>
      <c r="AA18" s="75" t="str">
        <f ca="1">IFERROR(__xludf.DUMMYFUNCTION("""COMPUTED_VALUE"""),"Pass")</f>
        <v>Pass</v>
      </c>
      <c r="AB18" s="82">
        <f ca="1">IFERROR(__xludf.DUMMYFUNCTION("""COMPUTED_VALUE"""),1.09999999999999)</f>
        <v>1.0999999999999901</v>
      </c>
      <c r="AC18" s="83">
        <f ca="1">IFERROR(__xludf.DUMMYFUNCTION("""COMPUTED_VALUE"""),3)</f>
        <v>3</v>
      </c>
      <c r="AD18" s="75" t="str">
        <f ca="1">IFERROR(__xludf.DUMMYFUNCTION("""COMPUTED_VALUE"""),"Station Fail")</f>
        <v>Station Fail</v>
      </c>
      <c r="AE18" s="82">
        <f ca="1">IFERROR(__xludf.DUMMYFUNCTION("""COMPUTED_VALUE"""),2.112)</f>
        <v>2.1120000000000001</v>
      </c>
      <c r="AF18" s="83">
        <f ca="1">IFERROR(__xludf.DUMMYFUNCTION("""COMPUTED_VALUE"""),4)</f>
        <v>4</v>
      </c>
      <c r="AG18" s="75" t="str">
        <f ca="1">IFERROR(__xludf.DUMMYFUNCTION("""COMPUTED_VALUE"""),"Pass")</f>
        <v>Pass</v>
      </c>
      <c r="AH18" s="82">
        <f ca="1">IFERROR(__xludf.DUMMYFUNCTION("""COMPUTED_VALUE"""),1.16571428571428)</f>
        <v>1.1657142857142799</v>
      </c>
      <c r="AI18" s="83">
        <f ca="1">IFERROR(__xludf.DUMMYFUNCTION("""COMPUTED_VALUE"""),2)</f>
        <v>2</v>
      </c>
      <c r="AJ18" s="75" t="str">
        <f ca="1">IFERROR(__xludf.DUMMYFUNCTION("""COMPUTED_VALUE"""),"Station Fail")</f>
        <v>Station Fail</v>
      </c>
      <c r="AK18" s="82">
        <f ca="1">IFERROR(__xludf.DUMMYFUNCTION("""COMPUTED_VALUE"""),2.175)</f>
        <v>2.1749999999999998</v>
      </c>
      <c r="AL18" s="83">
        <f ca="1">IFERROR(__xludf.DUMMYFUNCTION("""COMPUTED_VALUE"""),4)</f>
        <v>4</v>
      </c>
      <c r="AM18" s="75" t="str">
        <f ca="1">IFERROR(__xludf.DUMMYFUNCTION("""COMPUTED_VALUE"""),"Pass")</f>
        <v>Pass</v>
      </c>
      <c r="AN18" s="82">
        <f ca="1">IFERROR(__xludf.DUMMYFUNCTION("""COMPUTED_VALUE"""),0.923076923076923)</f>
        <v>0.92307692307692302</v>
      </c>
      <c r="AO18" s="83">
        <f ca="1">IFERROR(__xludf.DUMMYFUNCTION("""COMPUTED_VALUE"""),2)</f>
        <v>2</v>
      </c>
      <c r="AP18" s="75" t="str">
        <f ca="1">IFERROR(__xludf.DUMMYFUNCTION("""COMPUTED_VALUE"""),"Station Fail")</f>
        <v>Station Fail</v>
      </c>
      <c r="AQ18" s="82"/>
      <c r="AR18" s="83"/>
      <c r="AS18" s="75"/>
      <c r="AT18" s="82"/>
      <c r="AU18" s="83"/>
      <c r="AV18" s="75"/>
      <c r="AW18" s="82"/>
      <c r="AX18" s="83"/>
      <c r="AY18" s="75"/>
      <c r="AZ18" s="82"/>
      <c r="BA18" s="83"/>
      <c r="BB18" s="75"/>
      <c r="BC18" s="82"/>
      <c r="BD18" s="83"/>
      <c r="BE18" s="75"/>
      <c r="BF18" s="82"/>
      <c r="BG18" s="83"/>
      <c r="BH18" s="75"/>
      <c r="BI18" s="46"/>
    </row>
    <row r="19" spans="1:61" ht="22.5" customHeight="1" x14ac:dyDescent="0.25">
      <c r="A19" s="46"/>
      <c r="B19" s="75"/>
      <c r="C19" s="75"/>
      <c r="D19" s="75"/>
      <c r="E19" s="75" t="str">
        <f ca="1">IFERROR(__xludf.DUMMYFUNCTION("""COMPUTED_VALUE"""),"G02")</f>
        <v>G02</v>
      </c>
      <c r="F19" s="76"/>
      <c r="G19" s="77">
        <f ca="1">IFERROR(__xludf.DUMMYFUNCTION("""COMPUTED_VALUE"""),0)</f>
        <v>0</v>
      </c>
      <c r="H19" s="78">
        <f ca="1">IFERROR(__xludf.DUMMYFUNCTION("""COMPUTED_VALUE"""),10)</f>
        <v>10</v>
      </c>
      <c r="I19" s="79">
        <f ca="1">IFERROR(__xludf.DUMMYFUNCTION("""COMPUTED_VALUE"""),3)</f>
        <v>3</v>
      </c>
      <c r="J19" s="264"/>
      <c r="K19" s="82">
        <f ca="1">IFERROR(__xludf.DUMMYFUNCTION("""COMPUTED_VALUE"""),16.28)</f>
        <v>16.28</v>
      </c>
      <c r="L19" s="81" t="str">
        <f ca="1">IFERROR(__xludf.DUMMYFUNCTION("""COMPUTED_VALUE"""),"Pass")</f>
        <v>Pass</v>
      </c>
      <c r="M19" s="82">
        <f ca="1">IFERROR(__xludf.DUMMYFUNCTION("""COMPUTED_VALUE"""),1.79999999999999)</f>
        <v>1.7999999999999901</v>
      </c>
      <c r="N19" s="83">
        <f ca="1">IFERROR(__xludf.DUMMYFUNCTION("""COMPUTED_VALUE"""),3)</f>
        <v>3</v>
      </c>
      <c r="O19" s="75" t="str">
        <f ca="1">IFERROR(__xludf.DUMMYFUNCTION("""COMPUTED_VALUE"""),"Pass")</f>
        <v>Pass</v>
      </c>
      <c r="P19" s="82">
        <f ca="1">IFERROR(__xludf.DUMMYFUNCTION("""COMPUTED_VALUE"""),2.16774193548387)</f>
        <v>2.1677419354838698</v>
      </c>
      <c r="Q19" s="83">
        <f ca="1">IFERROR(__xludf.DUMMYFUNCTION("""COMPUTED_VALUE"""),4)</f>
        <v>4</v>
      </c>
      <c r="R19" s="75" t="str">
        <f ca="1">IFERROR(__xludf.DUMMYFUNCTION("""COMPUTED_VALUE"""),"Pass")</f>
        <v>Pass</v>
      </c>
      <c r="S19" s="82">
        <f ca="1">IFERROR(__xludf.DUMMYFUNCTION("""COMPUTED_VALUE"""),1.5)</f>
        <v>1.5</v>
      </c>
      <c r="T19" s="83">
        <f ca="1">IFERROR(__xludf.DUMMYFUNCTION("""COMPUTED_VALUE"""),1)</f>
        <v>1</v>
      </c>
      <c r="U19" s="75" t="str">
        <f ca="1">IFERROR(__xludf.DUMMYFUNCTION("""COMPUTED_VALUE"""),"Pass")</f>
        <v>Pass</v>
      </c>
      <c r="V19" s="82">
        <f ca="1">IFERROR(__xludf.DUMMYFUNCTION("""COMPUTED_VALUE"""),1.79999999999999)</f>
        <v>1.7999999999999901</v>
      </c>
      <c r="W19" s="83">
        <f ca="1">IFERROR(__xludf.DUMMYFUNCTION("""COMPUTED_VALUE"""),4)</f>
        <v>4</v>
      </c>
      <c r="X19" s="75" t="str">
        <f ca="1">IFERROR(__xludf.DUMMYFUNCTION("""COMPUTED_VALUE"""),"Pass")</f>
        <v>Pass</v>
      </c>
      <c r="Y19" s="82">
        <f ca="1">IFERROR(__xludf.DUMMYFUNCTION("""COMPUTED_VALUE"""),2.16)</f>
        <v>2.16</v>
      </c>
      <c r="Z19" s="83">
        <f ca="1">IFERROR(__xludf.DUMMYFUNCTION("""COMPUTED_VALUE"""),5)</f>
        <v>5</v>
      </c>
      <c r="AA19" s="75" t="str">
        <f ca="1">IFERROR(__xludf.DUMMYFUNCTION("""COMPUTED_VALUE"""),"Pass")</f>
        <v>Pass</v>
      </c>
      <c r="AB19" s="82">
        <f ca="1">IFERROR(__xludf.DUMMYFUNCTION("""COMPUTED_VALUE"""),1.09999999999999)</f>
        <v>1.0999999999999901</v>
      </c>
      <c r="AC19" s="83">
        <f ca="1">IFERROR(__xludf.DUMMYFUNCTION("""COMPUTED_VALUE"""),3)</f>
        <v>3</v>
      </c>
      <c r="AD19" s="75" t="str">
        <f ca="1">IFERROR(__xludf.DUMMYFUNCTION("""COMPUTED_VALUE"""),"Station Fail")</f>
        <v>Station Fail</v>
      </c>
      <c r="AE19" s="82">
        <f ca="1">IFERROR(__xludf.DUMMYFUNCTION("""COMPUTED_VALUE"""),2.016)</f>
        <v>2.016</v>
      </c>
      <c r="AF19" s="83">
        <f ca="1">IFERROR(__xludf.DUMMYFUNCTION("""COMPUTED_VALUE"""),5)</f>
        <v>5</v>
      </c>
      <c r="AG19" s="75" t="str">
        <f ca="1">IFERROR(__xludf.DUMMYFUNCTION("""COMPUTED_VALUE"""),"Pass")</f>
        <v>Pass</v>
      </c>
      <c r="AH19" s="82">
        <f ca="1">IFERROR(__xludf.DUMMYFUNCTION("""COMPUTED_VALUE"""),1.30285714285714)</f>
        <v>1.30285714285714</v>
      </c>
      <c r="AI19" s="83">
        <f ca="1">IFERROR(__xludf.DUMMYFUNCTION("""COMPUTED_VALUE"""),3)</f>
        <v>3</v>
      </c>
      <c r="AJ19" s="75" t="str">
        <f ca="1">IFERROR(__xludf.DUMMYFUNCTION("""COMPUTED_VALUE"""),"Station Fail")</f>
        <v>Station Fail</v>
      </c>
      <c r="AK19" s="82">
        <f ca="1">IFERROR(__xludf.DUMMYFUNCTION("""COMPUTED_VALUE"""),1.875)</f>
        <v>1.875</v>
      </c>
      <c r="AL19" s="83">
        <f ca="1">IFERROR(__xludf.DUMMYFUNCTION("""COMPUTED_VALUE"""),4)</f>
        <v>4</v>
      </c>
      <c r="AM19" s="75" t="str">
        <f ca="1">IFERROR(__xludf.DUMMYFUNCTION("""COMPUTED_VALUE"""),"Pass")</f>
        <v>Pass</v>
      </c>
      <c r="AN19" s="82">
        <f ca="1">IFERROR(__xludf.DUMMYFUNCTION("""COMPUTED_VALUE"""),0.553846153846153)</f>
        <v>0.55384615384615299</v>
      </c>
      <c r="AO19" s="83">
        <f ca="1">IFERROR(__xludf.DUMMYFUNCTION("""COMPUTED_VALUE"""),1)</f>
        <v>1</v>
      </c>
      <c r="AP19" s="75" t="str">
        <f ca="1">IFERROR(__xludf.DUMMYFUNCTION("""COMPUTED_VALUE"""),"Station Fail")</f>
        <v>Station Fail</v>
      </c>
      <c r="AQ19" s="82"/>
      <c r="AR19" s="83"/>
      <c r="AS19" s="75"/>
      <c r="AT19" s="82"/>
      <c r="AU19" s="83"/>
      <c r="AV19" s="75"/>
      <c r="AW19" s="82"/>
      <c r="AX19" s="83"/>
      <c r="AY19" s="75"/>
      <c r="AZ19" s="82"/>
      <c r="BA19" s="83"/>
      <c r="BB19" s="75"/>
      <c r="BC19" s="82"/>
      <c r="BD19" s="83"/>
      <c r="BE19" s="75"/>
      <c r="BF19" s="82"/>
      <c r="BG19" s="83"/>
      <c r="BH19" s="75"/>
      <c r="BI19" s="46"/>
    </row>
    <row r="20" spans="1:61" ht="22.5" customHeight="1" x14ac:dyDescent="0.25">
      <c r="A20" s="46"/>
      <c r="B20" s="75"/>
      <c r="C20" s="75"/>
      <c r="D20" s="75"/>
      <c r="E20" s="75" t="str">
        <f ca="1">IFERROR(__xludf.DUMMYFUNCTION("""COMPUTED_VALUE"""),"G02")</f>
        <v>G02</v>
      </c>
      <c r="F20" s="76"/>
      <c r="G20" s="77">
        <f ca="1">IFERROR(__xludf.DUMMYFUNCTION("""COMPUTED_VALUE"""),0)</f>
        <v>0</v>
      </c>
      <c r="H20" s="78">
        <f ca="1">IFERROR(__xludf.DUMMYFUNCTION("""COMPUTED_VALUE"""),10)</f>
        <v>10</v>
      </c>
      <c r="I20" s="79">
        <f ca="1">IFERROR(__xludf.DUMMYFUNCTION("""COMPUTED_VALUE"""),4)</f>
        <v>4</v>
      </c>
      <c r="J20" s="264"/>
      <c r="K20" s="82">
        <f ca="1">IFERROR(__xludf.DUMMYFUNCTION("""COMPUTED_VALUE"""),16.45)</f>
        <v>16.45</v>
      </c>
      <c r="L20" s="81" t="str">
        <f ca="1">IFERROR(__xludf.DUMMYFUNCTION("""COMPUTED_VALUE"""),"Pass")</f>
        <v>Pass</v>
      </c>
      <c r="M20" s="82">
        <f ca="1">IFERROR(__xludf.DUMMYFUNCTION("""COMPUTED_VALUE"""),1.2)</f>
        <v>1.2</v>
      </c>
      <c r="N20" s="83">
        <f ca="1">IFERROR(__xludf.DUMMYFUNCTION("""COMPUTED_VALUE"""),2)</f>
        <v>2</v>
      </c>
      <c r="O20" s="75" t="str">
        <f ca="1">IFERROR(__xludf.DUMMYFUNCTION("""COMPUTED_VALUE"""),"Station Fail")</f>
        <v>Station Fail</v>
      </c>
      <c r="P20" s="82">
        <f ca="1">IFERROR(__xludf.DUMMYFUNCTION("""COMPUTED_VALUE"""),2.24516129032258)</f>
        <v>2.2451612903225802</v>
      </c>
      <c r="Q20" s="83">
        <f ca="1">IFERROR(__xludf.DUMMYFUNCTION("""COMPUTED_VALUE"""),5)</f>
        <v>5</v>
      </c>
      <c r="R20" s="75" t="str">
        <f ca="1">IFERROR(__xludf.DUMMYFUNCTION("""COMPUTED_VALUE"""),"Pass")</f>
        <v>Pass</v>
      </c>
      <c r="S20" s="82">
        <f ca="1">IFERROR(__xludf.DUMMYFUNCTION("""COMPUTED_VALUE"""),1.5)</f>
        <v>1.5</v>
      </c>
      <c r="T20" s="83">
        <f ca="1">IFERROR(__xludf.DUMMYFUNCTION("""COMPUTED_VALUE"""),2)</f>
        <v>2</v>
      </c>
      <c r="U20" s="75" t="str">
        <f ca="1">IFERROR(__xludf.DUMMYFUNCTION("""COMPUTED_VALUE"""),"Pass")</f>
        <v>Pass</v>
      </c>
      <c r="V20" s="82">
        <f ca="1">IFERROR(__xludf.DUMMYFUNCTION("""COMPUTED_VALUE"""),2.04)</f>
        <v>2.04</v>
      </c>
      <c r="W20" s="83">
        <f ca="1">IFERROR(__xludf.DUMMYFUNCTION("""COMPUTED_VALUE"""),4)</f>
        <v>4</v>
      </c>
      <c r="X20" s="75" t="str">
        <f ca="1">IFERROR(__xludf.DUMMYFUNCTION("""COMPUTED_VALUE"""),"Pass")</f>
        <v>Pass</v>
      </c>
      <c r="Y20" s="82">
        <f ca="1">IFERROR(__xludf.DUMMYFUNCTION("""COMPUTED_VALUE"""),1.56)</f>
        <v>1.56</v>
      </c>
      <c r="Z20" s="83">
        <f ca="1">IFERROR(__xludf.DUMMYFUNCTION("""COMPUTED_VALUE"""),3)</f>
        <v>3</v>
      </c>
      <c r="AA20" s="75" t="str">
        <f ca="1">IFERROR(__xludf.DUMMYFUNCTION("""COMPUTED_VALUE"""),"Pass")</f>
        <v>Pass</v>
      </c>
      <c r="AB20" s="82">
        <f ca="1">IFERROR(__xludf.DUMMYFUNCTION("""COMPUTED_VALUE"""),1.29999999999999)</f>
        <v>1.2999999999999901</v>
      </c>
      <c r="AC20" s="83">
        <f ca="1">IFERROR(__xludf.DUMMYFUNCTION("""COMPUTED_VALUE"""),2)</f>
        <v>2</v>
      </c>
      <c r="AD20" s="75" t="str">
        <f ca="1">IFERROR(__xludf.DUMMYFUNCTION("""COMPUTED_VALUE"""),"Station Fail")</f>
        <v>Station Fail</v>
      </c>
      <c r="AE20" s="82">
        <f ca="1">IFERROR(__xludf.DUMMYFUNCTION("""COMPUTED_VALUE"""),2.4)</f>
        <v>2.4</v>
      </c>
      <c r="AF20" s="83">
        <f ca="1">IFERROR(__xludf.DUMMYFUNCTION("""COMPUTED_VALUE"""),5)</f>
        <v>5</v>
      </c>
      <c r="AG20" s="75" t="str">
        <f ca="1">IFERROR(__xludf.DUMMYFUNCTION("""COMPUTED_VALUE"""),"Pass")</f>
        <v>Pass</v>
      </c>
      <c r="AH20" s="82">
        <f ca="1">IFERROR(__xludf.DUMMYFUNCTION("""COMPUTED_VALUE"""),0.96)</f>
        <v>0.96</v>
      </c>
      <c r="AI20" s="83">
        <f ca="1">IFERROR(__xludf.DUMMYFUNCTION("""COMPUTED_VALUE"""),2)</f>
        <v>2</v>
      </c>
      <c r="AJ20" s="75" t="str">
        <f ca="1">IFERROR(__xludf.DUMMYFUNCTION("""COMPUTED_VALUE"""),"Station Fail")</f>
        <v>Station Fail</v>
      </c>
      <c r="AK20" s="82">
        <f ca="1">IFERROR(__xludf.DUMMYFUNCTION("""COMPUTED_VALUE"""),2.32499999999999)</f>
        <v>2.32499999999999</v>
      </c>
      <c r="AL20" s="83">
        <f ca="1">IFERROR(__xludf.DUMMYFUNCTION("""COMPUTED_VALUE"""),5)</f>
        <v>5</v>
      </c>
      <c r="AM20" s="75" t="str">
        <f ca="1">IFERROR(__xludf.DUMMYFUNCTION("""COMPUTED_VALUE"""),"Pass")</f>
        <v>Pass</v>
      </c>
      <c r="AN20" s="82">
        <f ca="1">IFERROR(__xludf.DUMMYFUNCTION("""COMPUTED_VALUE"""),0.923076923076923)</f>
        <v>0.92307692307692302</v>
      </c>
      <c r="AO20" s="83">
        <f ca="1">IFERROR(__xludf.DUMMYFUNCTION("""COMPUTED_VALUE"""),1)</f>
        <v>1</v>
      </c>
      <c r="AP20" s="75" t="str">
        <f ca="1">IFERROR(__xludf.DUMMYFUNCTION("""COMPUTED_VALUE"""),"Station Fail")</f>
        <v>Station Fail</v>
      </c>
      <c r="AQ20" s="82"/>
      <c r="AR20" s="83"/>
      <c r="AS20" s="75"/>
      <c r="AT20" s="82"/>
      <c r="AU20" s="83"/>
      <c r="AV20" s="75"/>
      <c r="AW20" s="82"/>
      <c r="AX20" s="83"/>
      <c r="AY20" s="75"/>
      <c r="AZ20" s="82"/>
      <c r="BA20" s="83"/>
      <c r="BB20" s="75"/>
      <c r="BC20" s="82"/>
      <c r="BD20" s="83"/>
      <c r="BE20" s="75"/>
      <c r="BF20" s="82"/>
      <c r="BG20" s="83"/>
      <c r="BH20" s="75"/>
      <c r="BI20" s="46"/>
    </row>
    <row r="21" spans="1:61" ht="22.5" customHeight="1" x14ac:dyDescent="0.25">
      <c r="A21" s="46"/>
      <c r="B21" s="75"/>
      <c r="C21" s="75"/>
      <c r="D21" s="75"/>
      <c r="E21" s="75" t="str">
        <f ca="1">IFERROR(__xludf.DUMMYFUNCTION("""COMPUTED_VALUE"""),"G02")</f>
        <v>G02</v>
      </c>
      <c r="F21" s="76"/>
      <c r="G21" s="77">
        <f ca="1">IFERROR(__xludf.DUMMYFUNCTION("""COMPUTED_VALUE"""),0)</f>
        <v>0</v>
      </c>
      <c r="H21" s="78">
        <f ca="1">IFERROR(__xludf.DUMMYFUNCTION("""COMPUTED_VALUE"""),10)</f>
        <v>10</v>
      </c>
      <c r="I21" s="79">
        <f ca="1">IFERROR(__xludf.DUMMYFUNCTION("""COMPUTED_VALUE"""),1)</f>
        <v>1</v>
      </c>
      <c r="J21" s="264"/>
      <c r="K21" s="82">
        <f ca="1">IFERROR(__xludf.DUMMYFUNCTION("""COMPUTED_VALUE"""),17.52)</f>
        <v>17.52</v>
      </c>
      <c r="L21" s="81" t="str">
        <f ca="1">IFERROR(__xludf.DUMMYFUNCTION("""COMPUTED_VALUE"""),"Pass")</f>
        <v>Pass</v>
      </c>
      <c r="M21" s="82">
        <f ca="1">IFERROR(__xludf.DUMMYFUNCTION("""COMPUTED_VALUE"""),1.95)</f>
        <v>1.95</v>
      </c>
      <c r="N21" s="83">
        <f ca="1">IFERROR(__xludf.DUMMYFUNCTION("""COMPUTED_VALUE"""),4)</f>
        <v>4</v>
      </c>
      <c r="O21" s="75" t="str">
        <f ca="1">IFERROR(__xludf.DUMMYFUNCTION("""COMPUTED_VALUE"""),"Pass")</f>
        <v>Pass</v>
      </c>
      <c r="P21" s="82">
        <f ca="1">IFERROR(__xludf.DUMMYFUNCTION("""COMPUTED_VALUE"""),2.32258064516129)</f>
        <v>2.32258064516129</v>
      </c>
      <c r="Q21" s="83">
        <f ca="1">IFERROR(__xludf.DUMMYFUNCTION("""COMPUTED_VALUE"""),4)</f>
        <v>4</v>
      </c>
      <c r="R21" s="75" t="str">
        <f ca="1">IFERROR(__xludf.DUMMYFUNCTION("""COMPUTED_VALUE"""),"Pass")</f>
        <v>Pass</v>
      </c>
      <c r="S21" s="82">
        <f ca="1">IFERROR(__xludf.DUMMYFUNCTION("""COMPUTED_VALUE"""),2.1)</f>
        <v>2.1</v>
      </c>
      <c r="T21" s="83">
        <f ca="1">IFERROR(__xludf.DUMMYFUNCTION("""COMPUTED_VALUE"""),4)</f>
        <v>4</v>
      </c>
      <c r="U21" s="75" t="str">
        <f ca="1">IFERROR(__xludf.DUMMYFUNCTION("""COMPUTED_VALUE"""),"Pass")</f>
        <v>Pass</v>
      </c>
      <c r="V21" s="82">
        <f ca="1">IFERROR(__xludf.DUMMYFUNCTION("""COMPUTED_VALUE"""),1.44)</f>
        <v>1.44</v>
      </c>
      <c r="W21" s="83">
        <f ca="1">IFERROR(__xludf.DUMMYFUNCTION("""COMPUTED_VALUE"""),4)</f>
        <v>4</v>
      </c>
      <c r="X21" s="75" t="str">
        <f ca="1">IFERROR(__xludf.DUMMYFUNCTION("""COMPUTED_VALUE"""),"Pass")</f>
        <v>Pass</v>
      </c>
      <c r="Y21" s="82">
        <f ca="1">IFERROR(__xludf.DUMMYFUNCTION("""COMPUTED_VALUE"""),1.68)</f>
        <v>1.68</v>
      </c>
      <c r="Z21" s="83">
        <f ca="1">IFERROR(__xludf.DUMMYFUNCTION("""COMPUTED_VALUE"""),4)</f>
        <v>4</v>
      </c>
      <c r="AA21" s="75" t="str">
        <f ca="1">IFERROR(__xludf.DUMMYFUNCTION("""COMPUTED_VALUE"""),"Pass")</f>
        <v>Pass</v>
      </c>
      <c r="AB21" s="82">
        <f ca="1">IFERROR(__xludf.DUMMYFUNCTION("""COMPUTED_VALUE"""),1.9)</f>
        <v>1.9</v>
      </c>
      <c r="AC21" s="83">
        <f ca="1">IFERROR(__xludf.DUMMYFUNCTION("""COMPUTED_VALUE"""),4)</f>
        <v>4</v>
      </c>
      <c r="AD21" s="75" t="str">
        <f ca="1">IFERROR(__xludf.DUMMYFUNCTION("""COMPUTED_VALUE"""),"Pass")</f>
        <v>Pass</v>
      </c>
      <c r="AE21" s="82">
        <f ca="1">IFERROR(__xludf.DUMMYFUNCTION("""COMPUTED_VALUE"""),1.536)</f>
        <v>1.536</v>
      </c>
      <c r="AF21" s="83">
        <f ca="1">IFERROR(__xludf.DUMMYFUNCTION("""COMPUTED_VALUE"""),3)</f>
        <v>3</v>
      </c>
      <c r="AG21" s="75" t="str">
        <f ca="1">IFERROR(__xludf.DUMMYFUNCTION("""COMPUTED_VALUE"""),"Pass")</f>
        <v>Pass</v>
      </c>
      <c r="AH21" s="82">
        <f ca="1">IFERROR(__xludf.DUMMYFUNCTION("""COMPUTED_VALUE"""),1.16571428571428)</f>
        <v>1.1657142857142799</v>
      </c>
      <c r="AI21" s="83">
        <f ca="1">IFERROR(__xludf.DUMMYFUNCTION("""COMPUTED_VALUE"""),3)</f>
        <v>3</v>
      </c>
      <c r="AJ21" s="75" t="str">
        <f ca="1">IFERROR(__xludf.DUMMYFUNCTION("""COMPUTED_VALUE"""),"Station Fail")</f>
        <v>Station Fail</v>
      </c>
      <c r="AK21" s="82">
        <f ca="1">IFERROR(__xludf.DUMMYFUNCTION("""COMPUTED_VALUE"""),1.95)</f>
        <v>1.95</v>
      </c>
      <c r="AL21" s="83">
        <f ca="1">IFERROR(__xludf.DUMMYFUNCTION("""COMPUTED_VALUE"""),4)</f>
        <v>4</v>
      </c>
      <c r="AM21" s="75" t="str">
        <f ca="1">IFERROR(__xludf.DUMMYFUNCTION("""COMPUTED_VALUE"""),"Pass")</f>
        <v>Pass</v>
      </c>
      <c r="AN21" s="82">
        <f ca="1">IFERROR(__xludf.DUMMYFUNCTION("""COMPUTED_VALUE"""),1.47692307692307)</f>
        <v>1.4769230769230699</v>
      </c>
      <c r="AO21" s="83">
        <f ca="1">IFERROR(__xludf.DUMMYFUNCTION("""COMPUTED_VALUE"""),2)</f>
        <v>2</v>
      </c>
      <c r="AP21" s="75" t="str">
        <f ca="1">IFERROR(__xludf.DUMMYFUNCTION("""COMPUTED_VALUE"""),"Pass")</f>
        <v>Pass</v>
      </c>
      <c r="AQ21" s="82"/>
      <c r="AR21" s="83"/>
      <c r="AS21" s="75"/>
      <c r="AT21" s="82"/>
      <c r="AU21" s="83"/>
      <c r="AV21" s="75"/>
      <c r="AW21" s="82"/>
      <c r="AX21" s="83"/>
      <c r="AY21" s="75"/>
      <c r="AZ21" s="82"/>
      <c r="BA21" s="83"/>
      <c r="BB21" s="75"/>
      <c r="BC21" s="82"/>
      <c r="BD21" s="83"/>
      <c r="BE21" s="75"/>
      <c r="BF21" s="82"/>
      <c r="BG21" s="83"/>
      <c r="BH21" s="75"/>
      <c r="BI21" s="46"/>
    </row>
    <row r="22" spans="1:61" ht="22.5" customHeight="1" x14ac:dyDescent="0.25">
      <c r="A22" s="46"/>
      <c r="B22" s="75"/>
      <c r="C22" s="75"/>
      <c r="D22" s="75"/>
      <c r="E22" s="75" t="str">
        <f ca="1">IFERROR(__xludf.DUMMYFUNCTION("""COMPUTED_VALUE"""),"G02")</f>
        <v>G02</v>
      </c>
      <c r="F22" s="76"/>
      <c r="G22" s="77">
        <f ca="1">IFERROR(__xludf.DUMMYFUNCTION("""COMPUTED_VALUE"""),0)</f>
        <v>0</v>
      </c>
      <c r="H22" s="78">
        <f ca="1">IFERROR(__xludf.DUMMYFUNCTION("""COMPUTED_VALUE"""),10)</f>
        <v>10</v>
      </c>
      <c r="I22" s="79">
        <f ca="1">IFERROR(__xludf.DUMMYFUNCTION("""COMPUTED_VALUE"""),5)</f>
        <v>5</v>
      </c>
      <c r="J22" s="264"/>
      <c r="K22" s="82">
        <f ca="1">IFERROR(__xludf.DUMMYFUNCTION("""COMPUTED_VALUE"""),13.56)</f>
        <v>13.56</v>
      </c>
      <c r="L22" s="81" t="str">
        <f ca="1">IFERROR(__xludf.DUMMYFUNCTION("""COMPUTED_VALUE"""),"Fail")</f>
        <v>Fail</v>
      </c>
      <c r="M22" s="82">
        <f ca="1">IFERROR(__xludf.DUMMYFUNCTION("""COMPUTED_VALUE"""),2.32499999999999)</f>
        <v>2.32499999999999</v>
      </c>
      <c r="N22" s="83">
        <f ca="1">IFERROR(__xludf.DUMMYFUNCTION("""COMPUTED_VALUE"""),4)</f>
        <v>4</v>
      </c>
      <c r="O22" s="75" t="str">
        <f ca="1">IFERROR(__xludf.DUMMYFUNCTION("""COMPUTED_VALUE"""),"Pass")</f>
        <v>Pass</v>
      </c>
      <c r="P22" s="82">
        <f ca="1">IFERROR(__xludf.DUMMYFUNCTION("""COMPUTED_VALUE"""),1.93548387096774)</f>
        <v>1.93548387096774</v>
      </c>
      <c r="Q22" s="83">
        <f ca="1">IFERROR(__xludf.DUMMYFUNCTION("""COMPUTED_VALUE"""),4)</f>
        <v>4</v>
      </c>
      <c r="R22" s="75" t="str">
        <f ca="1">IFERROR(__xludf.DUMMYFUNCTION("""COMPUTED_VALUE"""),"Pass")</f>
        <v>Pass</v>
      </c>
      <c r="S22" s="82">
        <f ca="1">IFERROR(__xludf.DUMMYFUNCTION("""COMPUTED_VALUE"""),1)</f>
        <v>1</v>
      </c>
      <c r="T22" s="83">
        <f ca="1">IFERROR(__xludf.DUMMYFUNCTION("""COMPUTED_VALUE"""),2)</f>
        <v>2</v>
      </c>
      <c r="U22" s="75" t="str">
        <f ca="1">IFERROR(__xludf.DUMMYFUNCTION("""COMPUTED_VALUE"""),"Station Fail")</f>
        <v>Station Fail</v>
      </c>
      <c r="V22" s="82">
        <f ca="1">IFERROR(__xludf.DUMMYFUNCTION("""COMPUTED_VALUE"""),0.96)</f>
        <v>0.96</v>
      </c>
      <c r="W22" s="83">
        <f ca="1">IFERROR(__xludf.DUMMYFUNCTION("""COMPUTED_VALUE"""),3)</f>
        <v>3</v>
      </c>
      <c r="X22" s="75" t="str">
        <f ca="1">IFERROR(__xludf.DUMMYFUNCTION("""COMPUTED_VALUE"""),"Station Fail")</f>
        <v>Station Fail</v>
      </c>
      <c r="Y22" s="82">
        <f ca="1">IFERROR(__xludf.DUMMYFUNCTION("""COMPUTED_VALUE"""),1.56)</f>
        <v>1.56</v>
      </c>
      <c r="Z22" s="83">
        <f ca="1">IFERROR(__xludf.DUMMYFUNCTION("""COMPUTED_VALUE"""),3)</f>
        <v>3</v>
      </c>
      <c r="AA22" s="75" t="str">
        <f ca="1">IFERROR(__xludf.DUMMYFUNCTION("""COMPUTED_VALUE"""),"Pass")</f>
        <v>Pass</v>
      </c>
      <c r="AB22" s="82">
        <f ca="1">IFERROR(__xludf.DUMMYFUNCTION("""COMPUTED_VALUE"""),1)</f>
        <v>1</v>
      </c>
      <c r="AC22" s="83">
        <f ca="1">IFERROR(__xludf.DUMMYFUNCTION("""COMPUTED_VALUE"""),2)</f>
        <v>2</v>
      </c>
      <c r="AD22" s="75" t="str">
        <f ca="1">IFERROR(__xludf.DUMMYFUNCTION("""COMPUTED_VALUE"""),"Station Fail")</f>
        <v>Station Fail</v>
      </c>
      <c r="AE22" s="82">
        <f ca="1">IFERROR(__xludf.DUMMYFUNCTION("""COMPUTED_VALUE"""),1.632)</f>
        <v>1.6319999999999999</v>
      </c>
      <c r="AF22" s="83">
        <f ca="1">IFERROR(__xludf.DUMMYFUNCTION("""COMPUTED_VALUE"""),4)</f>
        <v>4</v>
      </c>
      <c r="AG22" s="75" t="str">
        <f ca="1">IFERROR(__xludf.DUMMYFUNCTION("""COMPUTED_VALUE"""),"Pass")</f>
        <v>Pass</v>
      </c>
      <c r="AH22" s="82">
        <f ca="1">IFERROR(__xludf.DUMMYFUNCTION("""COMPUTED_VALUE"""),1.16571428571428)</f>
        <v>1.1657142857142799</v>
      </c>
      <c r="AI22" s="83">
        <f ca="1">IFERROR(__xludf.DUMMYFUNCTION("""COMPUTED_VALUE"""),3)</f>
        <v>3</v>
      </c>
      <c r="AJ22" s="75" t="str">
        <f ca="1">IFERROR(__xludf.DUMMYFUNCTION("""COMPUTED_VALUE"""),"Station Fail")</f>
        <v>Station Fail</v>
      </c>
      <c r="AK22" s="82">
        <f ca="1">IFERROR(__xludf.DUMMYFUNCTION("""COMPUTED_VALUE"""),1.79999999999999)</f>
        <v>1.7999999999999901</v>
      </c>
      <c r="AL22" s="83">
        <f ca="1">IFERROR(__xludf.DUMMYFUNCTION("""COMPUTED_VALUE"""),3)</f>
        <v>3</v>
      </c>
      <c r="AM22" s="75" t="str">
        <f ca="1">IFERROR(__xludf.DUMMYFUNCTION("""COMPUTED_VALUE"""),"Pass")</f>
        <v>Pass</v>
      </c>
      <c r="AN22" s="82">
        <f ca="1">IFERROR(__xludf.DUMMYFUNCTION("""COMPUTED_VALUE"""),0.184615384615384)</f>
        <v>0.18461538461538399</v>
      </c>
      <c r="AO22" s="83">
        <f ca="1">IFERROR(__xludf.DUMMYFUNCTION("""COMPUTED_VALUE"""),1)</f>
        <v>1</v>
      </c>
      <c r="AP22" s="75" t="str">
        <f ca="1">IFERROR(__xludf.DUMMYFUNCTION("""COMPUTED_VALUE"""),"Station Fail")</f>
        <v>Station Fail</v>
      </c>
      <c r="AQ22" s="82"/>
      <c r="AR22" s="83"/>
      <c r="AS22" s="75"/>
      <c r="AT22" s="82"/>
      <c r="AU22" s="83"/>
      <c r="AV22" s="75"/>
      <c r="AW22" s="82"/>
      <c r="AX22" s="83"/>
      <c r="AY22" s="75"/>
      <c r="AZ22" s="82"/>
      <c r="BA22" s="83"/>
      <c r="BB22" s="75"/>
      <c r="BC22" s="82"/>
      <c r="BD22" s="83"/>
      <c r="BE22" s="75"/>
      <c r="BF22" s="82"/>
      <c r="BG22" s="83"/>
      <c r="BH22" s="75"/>
      <c r="BI22" s="46"/>
    </row>
    <row r="23" spans="1:61" ht="22.5" customHeight="1" x14ac:dyDescent="0.25">
      <c r="A23" s="46"/>
      <c r="B23" s="75"/>
      <c r="C23" s="75"/>
      <c r="D23" s="75"/>
      <c r="E23" s="75" t="str">
        <f ca="1">IFERROR(__xludf.DUMMYFUNCTION("""COMPUTED_VALUE"""),"G02")</f>
        <v>G02</v>
      </c>
      <c r="F23" s="76"/>
      <c r="G23" s="77">
        <f ca="1">IFERROR(__xludf.DUMMYFUNCTION("""COMPUTED_VALUE"""),0)</f>
        <v>0</v>
      </c>
      <c r="H23" s="78">
        <f ca="1">IFERROR(__xludf.DUMMYFUNCTION("""COMPUTED_VALUE"""),10)</f>
        <v>10</v>
      </c>
      <c r="I23" s="79">
        <f ca="1">IFERROR(__xludf.DUMMYFUNCTION("""COMPUTED_VALUE"""),4)</f>
        <v>4</v>
      </c>
      <c r="J23" s="264"/>
      <c r="K23" s="82">
        <f ca="1">IFERROR(__xludf.DUMMYFUNCTION("""COMPUTED_VALUE"""),16.01)</f>
        <v>16.010000000000002</v>
      </c>
      <c r="L23" s="81" t="str">
        <f ca="1">IFERROR(__xludf.DUMMYFUNCTION("""COMPUTED_VALUE"""),"Pass")</f>
        <v>Pass</v>
      </c>
      <c r="M23" s="82">
        <f ca="1">IFERROR(__xludf.DUMMYFUNCTION("""COMPUTED_VALUE"""),2.1)</f>
        <v>2.1</v>
      </c>
      <c r="N23" s="83">
        <f ca="1">IFERROR(__xludf.DUMMYFUNCTION("""COMPUTED_VALUE"""),4)</f>
        <v>4</v>
      </c>
      <c r="O23" s="75" t="str">
        <f ca="1">IFERROR(__xludf.DUMMYFUNCTION("""COMPUTED_VALUE"""),"Pass")</f>
        <v>Pass</v>
      </c>
      <c r="P23" s="82">
        <f ca="1">IFERROR(__xludf.DUMMYFUNCTION("""COMPUTED_VALUE"""),2.09032258064516)</f>
        <v>2.09032258064516</v>
      </c>
      <c r="Q23" s="83">
        <f ca="1">IFERROR(__xludf.DUMMYFUNCTION("""COMPUTED_VALUE"""),4)</f>
        <v>4</v>
      </c>
      <c r="R23" s="75" t="str">
        <f ca="1">IFERROR(__xludf.DUMMYFUNCTION("""COMPUTED_VALUE"""),"Pass")</f>
        <v>Pass</v>
      </c>
      <c r="S23" s="82">
        <f ca="1">IFERROR(__xludf.DUMMYFUNCTION("""COMPUTED_VALUE"""),1.4)</f>
        <v>1.4</v>
      </c>
      <c r="T23" s="83">
        <f ca="1">IFERROR(__xludf.DUMMYFUNCTION("""COMPUTED_VALUE"""),2)</f>
        <v>2</v>
      </c>
      <c r="U23" s="75" t="str">
        <f ca="1">IFERROR(__xludf.DUMMYFUNCTION("""COMPUTED_VALUE"""),"Station Fail")</f>
        <v>Station Fail</v>
      </c>
      <c r="V23" s="82">
        <f ca="1">IFERROR(__xludf.DUMMYFUNCTION("""COMPUTED_VALUE"""),1.44)</f>
        <v>1.44</v>
      </c>
      <c r="W23" s="83">
        <f ca="1">IFERROR(__xludf.DUMMYFUNCTION("""COMPUTED_VALUE"""),5)</f>
        <v>5</v>
      </c>
      <c r="X23" s="75" t="str">
        <f ca="1">IFERROR(__xludf.DUMMYFUNCTION("""COMPUTED_VALUE"""),"Pass")</f>
        <v>Pass</v>
      </c>
      <c r="Y23" s="82">
        <f ca="1">IFERROR(__xludf.DUMMYFUNCTION("""COMPUTED_VALUE"""),2.04)</f>
        <v>2.04</v>
      </c>
      <c r="Z23" s="83">
        <f ca="1">IFERROR(__xludf.DUMMYFUNCTION("""COMPUTED_VALUE"""),5)</f>
        <v>5</v>
      </c>
      <c r="AA23" s="75" t="str">
        <f ca="1">IFERROR(__xludf.DUMMYFUNCTION("""COMPUTED_VALUE"""),"Pass")</f>
        <v>Pass</v>
      </c>
      <c r="AB23" s="82">
        <f ca="1">IFERROR(__xludf.DUMMYFUNCTION("""COMPUTED_VALUE"""),1.4)</f>
        <v>1.4</v>
      </c>
      <c r="AC23" s="83">
        <f ca="1">IFERROR(__xludf.DUMMYFUNCTION("""COMPUTED_VALUE"""),3)</f>
        <v>3</v>
      </c>
      <c r="AD23" s="75" t="str">
        <f ca="1">IFERROR(__xludf.DUMMYFUNCTION("""COMPUTED_VALUE"""),"Station Fail")</f>
        <v>Station Fail</v>
      </c>
      <c r="AE23" s="82">
        <f ca="1">IFERROR(__xludf.DUMMYFUNCTION("""COMPUTED_VALUE"""),1.536)</f>
        <v>1.536</v>
      </c>
      <c r="AF23" s="83">
        <f ca="1">IFERROR(__xludf.DUMMYFUNCTION("""COMPUTED_VALUE"""),2)</f>
        <v>2</v>
      </c>
      <c r="AG23" s="75" t="str">
        <f ca="1">IFERROR(__xludf.DUMMYFUNCTION("""COMPUTED_VALUE"""),"Pass")</f>
        <v>Pass</v>
      </c>
      <c r="AH23" s="82">
        <f ca="1">IFERROR(__xludf.DUMMYFUNCTION("""COMPUTED_VALUE"""),1.16571428571428)</f>
        <v>1.1657142857142799</v>
      </c>
      <c r="AI23" s="83">
        <f ca="1">IFERROR(__xludf.DUMMYFUNCTION("""COMPUTED_VALUE"""),3)</f>
        <v>3</v>
      </c>
      <c r="AJ23" s="75" t="str">
        <f ca="1">IFERROR(__xludf.DUMMYFUNCTION("""COMPUTED_VALUE"""),"Station Fail")</f>
        <v>Station Fail</v>
      </c>
      <c r="AK23" s="82">
        <f ca="1">IFERROR(__xludf.DUMMYFUNCTION("""COMPUTED_VALUE"""),2.1)</f>
        <v>2.1</v>
      </c>
      <c r="AL23" s="83">
        <f ca="1">IFERROR(__xludf.DUMMYFUNCTION("""COMPUTED_VALUE"""),5)</f>
        <v>5</v>
      </c>
      <c r="AM23" s="75" t="str">
        <f ca="1">IFERROR(__xludf.DUMMYFUNCTION("""COMPUTED_VALUE"""),"Pass")</f>
        <v>Pass</v>
      </c>
      <c r="AN23" s="82">
        <f ca="1">IFERROR(__xludf.DUMMYFUNCTION("""COMPUTED_VALUE"""),0.738461538461538)</f>
        <v>0.73846153846153795</v>
      </c>
      <c r="AO23" s="83">
        <f ca="1">IFERROR(__xludf.DUMMYFUNCTION("""COMPUTED_VALUE"""),1)</f>
        <v>1</v>
      </c>
      <c r="AP23" s="75" t="str">
        <f ca="1">IFERROR(__xludf.DUMMYFUNCTION("""COMPUTED_VALUE"""),"Station Fail")</f>
        <v>Station Fail</v>
      </c>
      <c r="AQ23" s="82"/>
      <c r="AR23" s="83"/>
      <c r="AS23" s="75"/>
      <c r="AT23" s="82"/>
      <c r="AU23" s="83"/>
      <c r="AV23" s="75"/>
      <c r="AW23" s="82"/>
      <c r="AX23" s="83"/>
      <c r="AY23" s="75"/>
      <c r="AZ23" s="82"/>
      <c r="BA23" s="83"/>
      <c r="BB23" s="75"/>
      <c r="BC23" s="82"/>
      <c r="BD23" s="83"/>
      <c r="BE23" s="75"/>
      <c r="BF23" s="82"/>
      <c r="BG23" s="83"/>
      <c r="BH23" s="75"/>
      <c r="BI23" s="46"/>
    </row>
    <row r="24" spans="1:61" ht="22.5" customHeight="1" x14ac:dyDescent="0.25">
      <c r="A24" s="46"/>
      <c r="B24" s="75"/>
      <c r="C24" s="75"/>
      <c r="D24" s="75"/>
      <c r="E24" s="75" t="str">
        <f ca="1">IFERROR(__xludf.DUMMYFUNCTION("""COMPUTED_VALUE"""),"G02")</f>
        <v>G02</v>
      </c>
      <c r="F24" s="76"/>
      <c r="G24" s="77">
        <f ca="1">IFERROR(__xludf.DUMMYFUNCTION("""COMPUTED_VALUE"""),0)</f>
        <v>0</v>
      </c>
      <c r="H24" s="78">
        <f ca="1">IFERROR(__xludf.DUMMYFUNCTION("""COMPUTED_VALUE"""),10)</f>
        <v>10</v>
      </c>
      <c r="I24" s="79">
        <f ca="1">IFERROR(__xludf.DUMMYFUNCTION("""COMPUTED_VALUE"""),2)</f>
        <v>2</v>
      </c>
      <c r="J24" s="264"/>
      <c r="K24" s="82">
        <f ca="1">IFERROR(__xludf.DUMMYFUNCTION("""COMPUTED_VALUE"""),16.13)</f>
        <v>16.13</v>
      </c>
      <c r="L24" s="81" t="str">
        <f ca="1">IFERROR(__xludf.DUMMYFUNCTION("""COMPUTED_VALUE"""),"Pass")</f>
        <v>Pass</v>
      </c>
      <c r="M24" s="82">
        <f ca="1">IFERROR(__xludf.DUMMYFUNCTION("""COMPUTED_VALUE"""),1.575)</f>
        <v>1.575</v>
      </c>
      <c r="N24" s="83">
        <f ca="1">IFERROR(__xludf.DUMMYFUNCTION("""COMPUTED_VALUE"""),3)</f>
        <v>3</v>
      </c>
      <c r="O24" s="75" t="str">
        <f ca="1">IFERROR(__xludf.DUMMYFUNCTION("""COMPUTED_VALUE"""),"Pass")</f>
        <v>Pass</v>
      </c>
      <c r="P24" s="82">
        <f ca="1">IFERROR(__xludf.DUMMYFUNCTION("""COMPUTED_VALUE"""),1.93548387096774)</f>
        <v>1.93548387096774</v>
      </c>
      <c r="Q24" s="83">
        <f ca="1">IFERROR(__xludf.DUMMYFUNCTION("""COMPUTED_VALUE"""),4)</f>
        <v>4</v>
      </c>
      <c r="R24" s="75" t="str">
        <f ca="1">IFERROR(__xludf.DUMMYFUNCTION("""COMPUTED_VALUE"""),"Pass")</f>
        <v>Pass</v>
      </c>
      <c r="S24" s="82">
        <f ca="1">IFERROR(__xludf.DUMMYFUNCTION("""COMPUTED_VALUE"""),1.9)</f>
        <v>1.9</v>
      </c>
      <c r="T24" s="83">
        <f ca="1">IFERROR(__xludf.DUMMYFUNCTION("""COMPUTED_VALUE"""),3)</f>
        <v>3</v>
      </c>
      <c r="U24" s="75" t="str">
        <f ca="1">IFERROR(__xludf.DUMMYFUNCTION("""COMPUTED_VALUE"""),"Pass")</f>
        <v>Pass</v>
      </c>
      <c r="V24" s="82">
        <f ca="1">IFERROR(__xludf.DUMMYFUNCTION("""COMPUTED_VALUE"""),1.92)</f>
        <v>1.92</v>
      </c>
      <c r="W24" s="83">
        <f ca="1">IFERROR(__xludf.DUMMYFUNCTION("""COMPUTED_VALUE"""),4)</f>
        <v>4</v>
      </c>
      <c r="X24" s="75" t="str">
        <f ca="1">IFERROR(__xludf.DUMMYFUNCTION("""COMPUTED_VALUE"""),"Pass")</f>
        <v>Pass</v>
      </c>
      <c r="Y24" s="82">
        <f ca="1">IFERROR(__xludf.DUMMYFUNCTION("""COMPUTED_VALUE"""),1.68)</f>
        <v>1.68</v>
      </c>
      <c r="Z24" s="83">
        <f ca="1">IFERROR(__xludf.DUMMYFUNCTION("""COMPUTED_VALUE"""),4)</f>
        <v>4</v>
      </c>
      <c r="AA24" s="75" t="str">
        <f ca="1">IFERROR(__xludf.DUMMYFUNCTION("""COMPUTED_VALUE"""),"Pass")</f>
        <v>Pass</v>
      </c>
      <c r="AB24" s="82">
        <f ca="1">IFERROR(__xludf.DUMMYFUNCTION("""COMPUTED_VALUE"""),1.09999999999999)</f>
        <v>1.0999999999999901</v>
      </c>
      <c r="AC24" s="83">
        <f ca="1">IFERROR(__xludf.DUMMYFUNCTION("""COMPUTED_VALUE"""),2)</f>
        <v>2</v>
      </c>
      <c r="AD24" s="75" t="str">
        <f ca="1">IFERROR(__xludf.DUMMYFUNCTION("""COMPUTED_VALUE"""),"Station Fail")</f>
        <v>Station Fail</v>
      </c>
      <c r="AE24" s="82">
        <f ca="1">IFERROR(__xludf.DUMMYFUNCTION("""COMPUTED_VALUE"""),2.016)</f>
        <v>2.016</v>
      </c>
      <c r="AF24" s="83">
        <f ca="1">IFERROR(__xludf.DUMMYFUNCTION("""COMPUTED_VALUE"""),4)</f>
        <v>4</v>
      </c>
      <c r="AG24" s="75" t="str">
        <f ca="1">IFERROR(__xludf.DUMMYFUNCTION("""COMPUTED_VALUE"""),"Pass")</f>
        <v>Pass</v>
      </c>
      <c r="AH24" s="82">
        <f ca="1">IFERROR(__xludf.DUMMYFUNCTION("""COMPUTED_VALUE"""),1.64571428571428)</f>
        <v>1.6457142857142799</v>
      </c>
      <c r="AI24" s="83">
        <f ca="1">IFERROR(__xludf.DUMMYFUNCTION("""COMPUTED_VALUE"""),3)</f>
        <v>3</v>
      </c>
      <c r="AJ24" s="75" t="str">
        <f ca="1">IFERROR(__xludf.DUMMYFUNCTION("""COMPUTED_VALUE"""),"Pass")</f>
        <v>Pass</v>
      </c>
      <c r="AK24" s="82">
        <f ca="1">IFERROR(__xludf.DUMMYFUNCTION("""COMPUTED_VALUE"""),1.79999999999999)</f>
        <v>1.7999999999999901</v>
      </c>
      <c r="AL24" s="83">
        <f ca="1">IFERROR(__xludf.DUMMYFUNCTION("""COMPUTED_VALUE"""),3)</f>
        <v>3</v>
      </c>
      <c r="AM24" s="75" t="str">
        <f ca="1">IFERROR(__xludf.DUMMYFUNCTION("""COMPUTED_VALUE"""),"Pass")</f>
        <v>Pass</v>
      </c>
      <c r="AN24" s="82">
        <f ca="1">IFERROR(__xludf.DUMMYFUNCTION("""COMPUTED_VALUE"""),0.553846153846153)</f>
        <v>0.55384615384615299</v>
      </c>
      <c r="AO24" s="83">
        <f ca="1">IFERROR(__xludf.DUMMYFUNCTION("""COMPUTED_VALUE"""),2)</f>
        <v>2</v>
      </c>
      <c r="AP24" s="75" t="str">
        <f ca="1">IFERROR(__xludf.DUMMYFUNCTION("""COMPUTED_VALUE"""),"Station Fail")</f>
        <v>Station Fail</v>
      </c>
      <c r="AQ24" s="82"/>
      <c r="AR24" s="83"/>
      <c r="AS24" s="75"/>
      <c r="AT24" s="82"/>
      <c r="AU24" s="83"/>
      <c r="AV24" s="75"/>
      <c r="AW24" s="82"/>
      <c r="AX24" s="83"/>
      <c r="AY24" s="75"/>
      <c r="AZ24" s="82"/>
      <c r="BA24" s="83"/>
      <c r="BB24" s="75"/>
      <c r="BC24" s="82"/>
      <c r="BD24" s="83"/>
      <c r="BE24" s="75"/>
      <c r="BF24" s="82"/>
      <c r="BG24" s="83"/>
      <c r="BH24" s="75"/>
      <c r="BI24" s="46"/>
    </row>
    <row r="25" spans="1:61" ht="22.5" customHeight="1" x14ac:dyDescent="0.25">
      <c r="A25" s="46"/>
      <c r="B25" s="75"/>
      <c r="C25" s="75"/>
      <c r="D25" s="75"/>
      <c r="E25" s="75" t="str">
        <f ca="1">IFERROR(__xludf.DUMMYFUNCTION("""COMPUTED_VALUE"""),"G02")</f>
        <v>G02</v>
      </c>
      <c r="F25" s="76"/>
      <c r="G25" s="77">
        <f ca="1">IFERROR(__xludf.DUMMYFUNCTION("""COMPUTED_VALUE"""),0)</f>
        <v>0</v>
      </c>
      <c r="H25" s="78">
        <f ca="1">IFERROR(__xludf.DUMMYFUNCTION("""COMPUTED_VALUE"""),10)</f>
        <v>10</v>
      </c>
      <c r="I25" s="79">
        <f ca="1">IFERROR(__xludf.DUMMYFUNCTION("""COMPUTED_VALUE"""),0)</f>
        <v>0</v>
      </c>
      <c r="J25" s="264"/>
      <c r="K25" s="82">
        <f ca="1">IFERROR(__xludf.DUMMYFUNCTION("""COMPUTED_VALUE"""),21.86)</f>
        <v>21.86</v>
      </c>
      <c r="L25" s="81" t="str">
        <f ca="1">IFERROR(__xludf.DUMMYFUNCTION("""COMPUTED_VALUE"""),"Pass")</f>
        <v>Pass</v>
      </c>
      <c r="M25" s="82">
        <f ca="1">IFERROR(__xludf.DUMMYFUNCTION("""COMPUTED_VALUE"""),1.79999999999999)</f>
        <v>1.7999999999999901</v>
      </c>
      <c r="N25" s="83">
        <f ca="1">IFERROR(__xludf.DUMMYFUNCTION("""COMPUTED_VALUE"""),4)</f>
        <v>4</v>
      </c>
      <c r="O25" s="75" t="str">
        <f ca="1">IFERROR(__xludf.DUMMYFUNCTION("""COMPUTED_VALUE"""),"Pass")</f>
        <v>Pass</v>
      </c>
      <c r="P25" s="82">
        <f ca="1">IFERROR(__xludf.DUMMYFUNCTION("""COMPUTED_VALUE"""),2.4)</f>
        <v>2.4</v>
      </c>
      <c r="Q25" s="83">
        <f ca="1">IFERROR(__xludf.DUMMYFUNCTION("""COMPUTED_VALUE"""),5)</f>
        <v>5</v>
      </c>
      <c r="R25" s="75" t="str">
        <f ca="1">IFERROR(__xludf.DUMMYFUNCTION("""COMPUTED_VALUE"""),"Pass")</f>
        <v>Pass</v>
      </c>
      <c r="S25" s="82">
        <f ca="1">IFERROR(__xludf.DUMMYFUNCTION("""COMPUTED_VALUE"""),2.3)</f>
        <v>2.2999999999999998</v>
      </c>
      <c r="T25" s="83">
        <f ca="1">IFERROR(__xludf.DUMMYFUNCTION("""COMPUTED_VALUE"""),5)</f>
        <v>5</v>
      </c>
      <c r="U25" s="75" t="str">
        <f ca="1">IFERROR(__xludf.DUMMYFUNCTION("""COMPUTED_VALUE"""),"Pass")</f>
        <v>Pass</v>
      </c>
      <c r="V25" s="82">
        <f ca="1">IFERROR(__xludf.DUMMYFUNCTION("""COMPUTED_VALUE"""),2.4)</f>
        <v>2.4</v>
      </c>
      <c r="W25" s="83">
        <f ca="1">IFERROR(__xludf.DUMMYFUNCTION("""COMPUTED_VALUE"""),5)</f>
        <v>5</v>
      </c>
      <c r="X25" s="75" t="str">
        <f ca="1">IFERROR(__xludf.DUMMYFUNCTION("""COMPUTED_VALUE"""),"Pass")</f>
        <v>Pass</v>
      </c>
      <c r="Y25" s="82">
        <f ca="1">IFERROR(__xludf.DUMMYFUNCTION("""COMPUTED_VALUE"""),2.28)</f>
        <v>2.2799999999999998</v>
      </c>
      <c r="Z25" s="83">
        <f ca="1">IFERROR(__xludf.DUMMYFUNCTION("""COMPUTED_VALUE"""),5)</f>
        <v>5</v>
      </c>
      <c r="AA25" s="75" t="str">
        <f ca="1">IFERROR(__xludf.DUMMYFUNCTION("""COMPUTED_VALUE"""),"Pass")</f>
        <v>Pass</v>
      </c>
      <c r="AB25" s="82">
        <f ca="1">IFERROR(__xludf.DUMMYFUNCTION("""COMPUTED_VALUE"""),2.19999999999999)</f>
        <v>2.19999999999999</v>
      </c>
      <c r="AC25" s="83">
        <f ca="1">IFERROR(__xludf.DUMMYFUNCTION("""COMPUTED_VALUE"""),5)</f>
        <v>5</v>
      </c>
      <c r="AD25" s="75" t="str">
        <f ca="1">IFERROR(__xludf.DUMMYFUNCTION("""COMPUTED_VALUE"""),"Pass")</f>
        <v>Pass</v>
      </c>
      <c r="AE25" s="82">
        <f ca="1">IFERROR(__xludf.DUMMYFUNCTION("""COMPUTED_VALUE"""),2.4)</f>
        <v>2.4</v>
      </c>
      <c r="AF25" s="83">
        <f ca="1">IFERROR(__xludf.DUMMYFUNCTION("""COMPUTED_VALUE"""),5)</f>
        <v>5</v>
      </c>
      <c r="AG25" s="75" t="str">
        <f ca="1">IFERROR(__xludf.DUMMYFUNCTION("""COMPUTED_VALUE"""),"Pass")</f>
        <v>Pass</v>
      </c>
      <c r="AH25" s="82">
        <f ca="1">IFERROR(__xludf.DUMMYFUNCTION("""COMPUTED_VALUE"""),1.64571428571428)</f>
        <v>1.6457142857142799</v>
      </c>
      <c r="AI25" s="83">
        <f ca="1">IFERROR(__xludf.DUMMYFUNCTION("""COMPUTED_VALUE"""),3)</f>
        <v>3</v>
      </c>
      <c r="AJ25" s="75" t="str">
        <f ca="1">IFERROR(__xludf.DUMMYFUNCTION("""COMPUTED_VALUE"""),"Pass")</f>
        <v>Pass</v>
      </c>
      <c r="AK25" s="82">
        <f ca="1">IFERROR(__xludf.DUMMYFUNCTION("""COMPUTED_VALUE"""),2.4)</f>
        <v>2.4</v>
      </c>
      <c r="AL25" s="83">
        <f ca="1">IFERROR(__xludf.DUMMYFUNCTION("""COMPUTED_VALUE"""),5)</f>
        <v>5</v>
      </c>
      <c r="AM25" s="75" t="str">
        <f ca="1">IFERROR(__xludf.DUMMYFUNCTION("""COMPUTED_VALUE"""),"Pass")</f>
        <v>Pass</v>
      </c>
      <c r="AN25" s="82">
        <f ca="1">IFERROR(__xludf.DUMMYFUNCTION("""COMPUTED_VALUE"""),2.03076923076923)</f>
        <v>2.0307692307692302</v>
      </c>
      <c r="AO25" s="83">
        <f ca="1">IFERROR(__xludf.DUMMYFUNCTION("""COMPUTED_VALUE"""),3)</f>
        <v>3</v>
      </c>
      <c r="AP25" s="75" t="str">
        <f ca="1">IFERROR(__xludf.DUMMYFUNCTION("""COMPUTED_VALUE"""),"Pass")</f>
        <v>Pass</v>
      </c>
      <c r="AQ25" s="82"/>
      <c r="AR25" s="83"/>
      <c r="AS25" s="75"/>
      <c r="AT25" s="82"/>
      <c r="AU25" s="83"/>
      <c r="AV25" s="75"/>
      <c r="AW25" s="82"/>
      <c r="AX25" s="83"/>
      <c r="AY25" s="75"/>
      <c r="AZ25" s="82"/>
      <c r="BA25" s="83"/>
      <c r="BB25" s="75"/>
      <c r="BC25" s="82"/>
      <c r="BD25" s="83"/>
      <c r="BE25" s="75"/>
      <c r="BF25" s="82"/>
      <c r="BG25" s="83"/>
      <c r="BH25" s="75"/>
      <c r="BI25" s="46"/>
    </row>
    <row r="26" spans="1:61" ht="22.5" customHeight="1" x14ac:dyDescent="0.25">
      <c r="A26" s="46"/>
      <c r="B26" s="75"/>
      <c r="C26" s="75"/>
      <c r="D26" s="75"/>
      <c r="E26" s="75" t="str">
        <f ca="1">IFERROR(__xludf.DUMMYFUNCTION("""COMPUTED_VALUE"""),"G02")</f>
        <v>G02</v>
      </c>
      <c r="F26" s="76"/>
      <c r="G26" s="77">
        <f ca="1">IFERROR(__xludf.DUMMYFUNCTION("""COMPUTED_VALUE"""),0)</f>
        <v>0</v>
      </c>
      <c r="H26" s="78">
        <f ca="1">IFERROR(__xludf.DUMMYFUNCTION("""COMPUTED_VALUE"""),10)</f>
        <v>10</v>
      </c>
      <c r="I26" s="79">
        <f ca="1">IFERROR(__xludf.DUMMYFUNCTION("""COMPUTED_VALUE"""),2)</f>
        <v>2</v>
      </c>
      <c r="J26" s="264"/>
      <c r="K26" s="82">
        <f ca="1">IFERROR(__xludf.DUMMYFUNCTION("""COMPUTED_VALUE"""),18.82)</f>
        <v>18.82</v>
      </c>
      <c r="L26" s="81" t="str">
        <f ca="1">IFERROR(__xludf.DUMMYFUNCTION("""COMPUTED_VALUE"""),"Pass")</f>
        <v>Pass</v>
      </c>
      <c r="M26" s="82">
        <f ca="1">IFERROR(__xludf.DUMMYFUNCTION("""COMPUTED_VALUE"""),2.4)</f>
        <v>2.4</v>
      </c>
      <c r="N26" s="83">
        <f ca="1">IFERROR(__xludf.DUMMYFUNCTION("""COMPUTED_VALUE"""),5)</f>
        <v>5</v>
      </c>
      <c r="O26" s="75" t="str">
        <f ca="1">IFERROR(__xludf.DUMMYFUNCTION("""COMPUTED_VALUE"""),"Pass")</f>
        <v>Pass</v>
      </c>
      <c r="P26" s="82">
        <f ca="1">IFERROR(__xludf.DUMMYFUNCTION("""COMPUTED_VALUE"""),2.24516129032258)</f>
        <v>2.2451612903225802</v>
      </c>
      <c r="Q26" s="83">
        <f ca="1">IFERROR(__xludf.DUMMYFUNCTION("""COMPUTED_VALUE"""),5)</f>
        <v>5</v>
      </c>
      <c r="R26" s="75" t="str">
        <f ca="1">IFERROR(__xludf.DUMMYFUNCTION("""COMPUTED_VALUE"""),"Pass")</f>
        <v>Pass</v>
      </c>
      <c r="S26" s="82">
        <f ca="1">IFERROR(__xludf.DUMMYFUNCTION("""COMPUTED_VALUE"""),2.19999999999999)</f>
        <v>2.19999999999999</v>
      </c>
      <c r="T26" s="83">
        <f ca="1">IFERROR(__xludf.DUMMYFUNCTION("""COMPUTED_VALUE"""),4)</f>
        <v>4</v>
      </c>
      <c r="U26" s="75" t="str">
        <f ca="1">IFERROR(__xludf.DUMMYFUNCTION("""COMPUTED_VALUE"""),"Pass")</f>
        <v>Pass</v>
      </c>
      <c r="V26" s="82">
        <f ca="1">IFERROR(__xludf.DUMMYFUNCTION("""COMPUTED_VALUE"""),1.32)</f>
        <v>1.32</v>
      </c>
      <c r="W26" s="83">
        <f ca="1">IFERROR(__xludf.DUMMYFUNCTION("""COMPUTED_VALUE"""),3)</f>
        <v>3</v>
      </c>
      <c r="X26" s="75" t="str">
        <f ca="1">IFERROR(__xludf.DUMMYFUNCTION("""COMPUTED_VALUE"""),"Station Fail")</f>
        <v>Station Fail</v>
      </c>
      <c r="Y26" s="82">
        <f ca="1">IFERROR(__xludf.DUMMYFUNCTION("""COMPUTED_VALUE"""),2.16)</f>
        <v>2.16</v>
      </c>
      <c r="Z26" s="83">
        <f ca="1">IFERROR(__xludf.DUMMYFUNCTION("""COMPUTED_VALUE"""),5)</f>
        <v>5</v>
      </c>
      <c r="AA26" s="75" t="str">
        <f ca="1">IFERROR(__xludf.DUMMYFUNCTION("""COMPUTED_VALUE"""),"Pass")</f>
        <v>Pass</v>
      </c>
      <c r="AB26" s="82">
        <f ca="1">IFERROR(__xludf.DUMMYFUNCTION("""COMPUTED_VALUE"""),1.9)</f>
        <v>1.9</v>
      </c>
      <c r="AC26" s="83">
        <f ca="1">IFERROR(__xludf.DUMMYFUNCTION("""COMPUTED_VALUE"""),4)</f>
        <v>4</v>
      </c>
      <c r="AD26" s="75" t="str">
        <f ca="1">IFERROR(__xludf.DUMMYFUNCTION("""COMPUTED_VALUE"""),"Pass")</f>
        <v>Pass</v>
      </c>
      <c r="AE26" s="82">
        <f ca="1">IFERROR(__xludf.DUMMYFUNCTION("""COMPUTED_VALUE"""),1.632)</f>
        <v>1.6319999999999999</v>
      </c>
      <c r="AF26" s="83">
        <f ca="1">IFERROR(__xludf.DUMMYFUNCTION("""COMPUTED_VALUE"""),4)</f>
        <v>4</v>
      </c>
      <c r="AG26" s="75" t="str">
        <f ca="1">IFERROR(__xludf.DUMMYFUNCTION("""COMPUTED_VALUE"""),"Pass")</f>
        <v>Pass</v>
      </c>
      <c r="AH26" s="82">
        <f ca="1">IFERROR(__xludf.DUMMYFUNCTION("""COMPUTED_VALUE"""),1.71428571428571)</f>
        <v>1.71428571428571</v>
      </c>
      <c r="AI26" s="83">
        <f ca="1">IFERROR(__xludf.DUMMYFUNCTION("""COMPUTED_VALUE"""),4)</f>
        <v>4</v>
      </c>
      <c r="AJ26" s="75" t="str">
        <f ca="1">IFERROR(__xludf.DUMMYFUNCTION("""COMPUTED_VALUE"""),"Pass")</f>
        <v>Pass</v>
      </c>
      <c r="AK26" s="82">
        <f ca="1">IFERROR(__xludf.DUMMYFUNCTION("""COMPUTED_VALUE"""),2.32499999999999)</f>
        <v>2.32499999999999</v>
      </c>
      <c r="AL26" s="83">
        <f ca="1">IFERROR(__xludf.DUMMYFUNCTION("""COMPUTED_VALUE"""),5)</f>
        <v>5</v>
      </c>
      <c r="AM26" s="75" t="str">
        <f ca="1">IFERROR(__xludf.DUMMYFUNCTION("""COMPUTED_VALUE"""),"Pass")</f>
        <v>Pass</v>
      </c>
      <c r="AN26" s="82">
        <f ca="1">IFERROR(__xludf.DUMMYFUNCTION("""COMPUTED_VALUE"""),0.923076923076923)</f>
        <v>0.92307692307692302</v>
      </c>
      <c r="AO26" s="83">
        <f ca="1">IFERROR(__xludf.DUMMYFUNCTION("""COMPUTED_VALUE"""),1)</f>
        <v>1</v>
      </c>
      <c r="AP26" s="75" t="str">
        <f ca="1">IFERROR(__xludf.DUMMYFUNCTION("""COMPUTED_VALUE"""),"Station Fail")</f>
        <v>Station Fail</v>
      </c>
      <c r="AQ26" s="82"/>
      <c r="AR26" s="83"/>
      <c r="AS26" s="75"/>
      <c r="AT26" s="82"/>
      <c r="AU26" s="83"/>
      <c r="AV26" s="75"/>
      <c r="AW26" s="82"/>
      <c r="AX26" s="83"/>
      <c r="AY26" s="75"/>
      <c r="AZ26" s="82"/>
      <c r="BA26" s="83"/>
      <c r="BB26" s="75"/>
      <c r="BC26" s="82"/>
      <c r="BD26" s="83"/>
      <c r="BE26" s="75"/>
      <c r="BF26" s="82"/>
      <c r="BG26" s="83"/>
      <c r="BH26" s="75"/>
      <c r="BI26" s="46"/>
    </row>
    <row r="27" spans="1:61" ht="22.5" customHeight="1" x14ac:dyDescent="0.25">
      <c r="A27" s="46"/>
      <c r="B27" s="75"/>
      <c r="C27" s="75"/>
      <c r="D27" s="75"/>
      <c r="E27" s="75" t="str">
        <f ca="1">IFERROR(__xludf.DUMMYFUNCTION("""COMPUTED_VALUE"""),"G02")</f>
        <v>G02</v>
      </c>
      <c r="F27" s="76"/>
      <c r="G27" s="77">
        <f ca="1">IFERROR(__xludf.DUMMYFUNCTION("""COMPUTED_VALUE"""),0)</f>
        <v>0</v>
      </c>
      <c r="H27" s="78">
        <f ca="1">IFERROR(__xludf.DUMMYFUNCTION("""COMPUTED_VALUE"""),10)</f>
        <v>10</v>
      </c>
      <c r="I27" s="79">
        <f ca="1">IFERROR(__xludf.DUMMYFUNCTION("""COMPUTED_VALUE"""),0)</f>
        <v>0</v>
      </c>
      <c r="J27" s="264"/>
      <c r="K27" s="82">
        <f ca="1">IFERROR(__xludf.DUMMYFUNCTION("""COMPUTED_VALUE"""),22.38)</f>
        <v>22.38</v>
      </c>
      <c r="L27" s="81" t="str">
        <f ca="1">IFERROR(__xludf.DUMMYFUNCTION("""COMPUTED_VALUE"""),"Pass")</f>
        <v>Pass</v>
      </c>
      <c r="M27" s="82">
        <f ca="1">IFERROR(__xludf.DUMMYFUNCTION("""COMPUTED_VALUE"""),2.175)</f>
        <v>2.1749999999999998</v>
      </c>
      <c r="N27" s="83">
        <f ca="1">IFERROR(__xludf.DUMMYFUNCTION("""COMPUTED_VALUE"""),4)</f>
        <v>4</v>
      </c>
      <c r="O27" s="75" t="str">
        <f ca="1">IFERROR(__xludf.DUMMYFUNCTION("""COMPUTED_VALUE"""),"Pass")</f>
        <v>Pass</v>
      </c>
      <c r="P27" s="82">
        <f ca="1">IFERROR(__xludf.DUMMYFUNCTION("""COMPUTED_VALUE"""),2.4)</f>
        <v>2.4</v>
      </c>
      <c r="Q27" s="83">
        <f ca="1">IFERROR(__xludf.DUMMYFUNCTION("""COMPUTED_VALUE"""),5)</f>
        <v>5</v>
      </c>
      <c r="R27" s="75" t="str">
        <f ca="1">IFERROR(__xludf.DUMMYFUNCTION("""COMPUTED_VALUE"""),"Pass")</f>
        <v>Pass</v>
      </c>
      <c r="S27" s="82">
        <f ca="1">IFERROR(__xludf.DUMMYFUNCTION("""COMPUTED_VALUE"""),2.3)</f>
        <v>2.2999999999999998</v>
      </c>
      <c r="T27" s="83">
        <f ca="1">IFERROR(__xludf.DUMMYFUNCTION("""COMPUTED_VALUE"""),4)</f>
        <v>4</v>
      </c>
      <c r="U27" s="75" t="str">
        <f ca="1">IFERROR(__xludf.DUMMYFUNCTION("""COMPUTED_VALUE"""),"Pass")</f>
        <v>Pass</v>
      </c>
      <c r="V27" s="82">
        <f ca="1">IFERROR(__xludf.DUMMYFUNCTION("""COMPUTED_VALUE"""),2.28)</f>
        <v>2.2799999999999998</v>
      </c>
      <c r="W27" s="83">
        <f ca="1">IFERROR(__xludf.DUMMYFUNCTION("""COMPUTED_VALUE"""),5)</f>
        <v>5</v>
      </c>
      <c r="X27" s="75" t="str">
        <f ca="1">IFERROR(__xludf.DUMMYFUNCTION("""COMPUTED_VALUE"""),"Pass")</f>
        <v>Pass</v>
      </c>
      <c r="Y27" s="82">
        <f ca="1">IFERROR(__xludf.DUMMYFUNCTION("""COMPUTED_VALUE"""),2.28)</f>
        <v>2.2799999999999998</v>
      </c>
      <c r="Z27" s="83">
        <f ca="1">IFERROR(__xludf.DUMMYFUNCTION("""COMPUTED_VALUE"""),5)</f>
        <v>5</v>
      </c>
      <c r="AA27" s="75" t="str">
        <f ca="1">IFERROR(__xludf.DUMMYFUNCTION("""COMPUTED_VALUE"""),"Pass")</f>
        <v>Pass</v>
      </c>
      <c r="AB27" s="82">
        <f ca="1">IFERROR(__xludf.DUMMYFUNCTION("""COMPUTED_VALUE"""),2)</f>
        <v>2</v>
      </c>
      <c r="AC27" s="83">
        <f ca="1">IFERROR(__xludf.DUMMYFUNCTION("""COMPUTED_VALUE"""),4)</f>
        <v>4</v>
      </c>
      <c r="AD27" s="75" t="str">
        <f ca="1">IFERROR(__xludf.DUMMYFUNCTION("""COMPUTED_VALUE"""),"Pass")</f>
        <v>Pass</v>
      </c>
      <c r="AE27" s="82">
        <f ca="1">IFERROR(__xludf.DUMMYFUNCTION("""COMPUTED_VALUE"""),2.208)</f>
        <v>2.2080000000000002</v>
      </c>
      <c r="AF27" s="83">
        <f ca="1">IFERROR(__xludf.DUMMYFUNCTION("""COMPUTED_VALUE"""),5)</f>
        <v>5</v>
      </c>
      <c r="AG27" s="75" t="str">
        <f ca="1">IFERROR(__xludf.DUMMYFUNCTION("""COMPUTED_VALUE"""),"Pass")</f>
        <v>Pass</v>
      </c>
      <c r="AH27" s="82">
        <f ca="1">IFERROR(__xludf.DUMMYFUNCTION("""COMPUTED_VALUE"""),2.19428571428571)</f>
        <v>2.19428571428571</v>
      </c>
      <c r="AI27" s="83">
        <f ca="1">IFERROR(__xludf.DUMMYFUNCTION("""COMPUTED_VALUE"""),4)</f>
        <v>4</v>
      </c>
      <c r="AJ27" s="75" t="str">
        <f ca="1">IFERROR(__xludf.DUMMYFUNCTION("""COMPUTED_VALUE"""),"Pass")</f>
        <v>Pass</v>
      </c>
      <c r="AK27" s="82">
        <f ca="1">IFERROR(__xludf.DUMMYFUNCTION("""COMPUTED_VALUE"""),2.32499999999999)</f>
        <v>2.32499999999999</v>
      </c>
      <c r="AL27" s="83">
        <f ca="1">IFERROR(__xludf.DUMMYFUNCTION("""COMPUTED_VALUE"""),5)</f>
        <v>5</v>
      </c>
      <c r="AM27" s="75" t="str">
        <f ca="1">IFERROR(__xludf.DUMMYFUNCTION("""COMPUTED_VALUE"""),"Pass")</f>
        <v>Pass</v>
      </c>
      <c r="AN27" s="82">
        <f ca="1">IFERROR(__xludf.DUMMYFUNCTION("""COMPUTED_VALUE"""),2.21538461538461)</f>
        <v>2.2153846153846102</v>
      </c>
      <c r="AO27" s="83">
        <f ca="1">IFERROR(__xludf.DUMMYFUNCTION("""COMPUTED_VALUE"""),4)</f>
        <v>4</v>
      </c>
      <c r="AP27" s="75" t="str">
        <f ca="1">IFERROR(__xludf.DUMMYFUNCTION("""COMPUTED_VALUE"""),"Pass")</f>
        <v>Pass</v>
      </c>
      <c r="AQ27" s="82"/>
      <c r="AR27" s="83"/>
      <c r="AS27" s="75"/>
      <c r="AT27" s="82"/>
      <c r="AU27" s="83"/>
      <c r="AV27" s="75"/>
      <c r="AW27" s="82"/>
      <c r="AX27" s="83"/>
      <c r="AY27" s="75"/>
      <c r="AZ27" s="82"/>
      <c r="BA27" s="83"/>
      <c r="BB27" s="75"/>
      <c r="BC27" s="82"/>
      <c r="BD27" s="83"/>
      <c r="BE27" s="75"/>
      <c r="BF27" s="82"/>
      <c r="BG27" s="83"/>
      <c r="BH27" s="75"/>
      <c r="BI27" s="46"/>
    </row>
    <row r="28" spans="1:61" ht="22.5" customHeight="1" x14ac:dyDescent="0.25">
      <c r="A28" s="46"/>
      <c r="B28" s="75"/>
      <c r="C28" s="75"/>
      <c r="D28" s="75"/>
      <c r="E28" s="75" t="str">
        <f ca="1">IFERROR(__xludf.DUMMYFUNCTION("""COMPUTED_VALUE"""),"G02")</f>
        <v>G02</v>
      </c>
      <c r="F28" s="76"/>
      <c r="G28" s="77">
        <f ca="1">IFERROR(__xludf.DUMMYFUNCTION("""COMPUTED_VALUE"""),0)</f>
        <v>0</v>
      </c>
      <c r="H28" s="78">
        <f ca="1">IFERROR(__xludf.DUMMYFUNCTION("""COMPUTED_VALUE"""),10)</f>
        <v>10</v>
      </c>
      <c r="I28" s="79">
        <f ca="1">IFERROR(__xludf.DUMMYFUNCTION("""COMPUTED_VALUE"""),1)</f>
        <v>1</v>
      </c>
      <c r="J28" s="264"/>
      <c r="K28" s="82">
        <f ca="1">IFERROR(__xludf.DUMMYFUNCTION("""COMPUTED_VALUE"""),17.6)</f>
        <v>17.600000000000001</v>
      </c>
      <c r="L28" s="81" t="str">
        <f ca="1">IFERROR(__xludf.DUMMYFUNCTION("""COMPUTED_VALUE"""),"Pass")</f>
        <v>Pass</v>
      </c>
      <c r="M28" s="82">
        <f ca="1">IFERROR(__xludf.DUMMYFUNCTION("""COMPUTED_VALUE"""),2.1)</f>
        <v>2.1</v>
      </c>
      <c r="N28" s="83">
        <f ca="1">IFERROR(__xludf.DUMMYFUNCTION("""COMPUTED_VALUE"""),4)</f>
        <v>4</v>
      </c>
      <c r="O28" s="75" t="str">
        <f ca="1">IFERROR(__xludf.DUMMYFUNCTION("""COMPUTED_VALUE"""),"Pass")</f>
        <v>Pass</v>
      </c>
      <c r="P28" s="82">
        <f ca="1">IFERROR(__xludf.DUMMYFUNCTION("""COMPUTED_VALUE"""),2.32258064516129)</f>
        <v>2.32258064516129</v>
      </c>
      <c r="Q28" s="83">
        <f ca="1">IFERROR(__xludf.DUMMYFUNCTION("""COMPUTED_VALUE"""),5)</f>
        <v>5</v>
      </c>
      <c r="R28" s="75" t="str">
        <f ca="1">IFERROR(__xludf.DUMMYFUNCTION("""COMPUTED_VALUE"""),"Pass")</f>
        <v>Pass</v>
      </c>
      <c r="S28" s="82">
        <f ca="1">IFERROR(__xludf.DUMMYFUNCTION("""COMPUTED_VALUE"""),1.79999999999999)</f>
        <v>1.7999999999999901</v>
      </c>
      <c r="T28" s="83">
        <f ca="1">IFERROR(__xludf.DUMMYFUNCTION("""COMPUTED_VALUE"""),3)</f>
        <v>3</v>
      </c>
      <c r="U28" s="75" t="str">
        <f ca="1">IFERROR(__xludf.DUMMYFUNCTION("""COMPUTED_VALUE"""),"Pass")</f>
        <v>Pass</v>
      </c>
      <c r="V28" s="82">
        <f ca="1">IFERROR(__xludf.DUMMYFUNCTION("""COMPUTED_VALUE"""),1.44)</f>
        <v>1.44</v>
      </c>
      <c r="W28" s="83">
        <f ca="1">IFERROR(__xludf.DUMMYFUNCTION("""COMPUTED_VALUE"""),3)</f>
        <v>3</v>
      </c>
      <c r="X28" s="75" t="str">
        <f ca="1">IFERROR(__xludf.DUMMYFUNCTION("""COMPUTED_VALUE"""),"Pass")</f>
        <v>Pass</v>
      </c>
      <c r="Y28" s="82">
        <f ca="1">IFERROR(__xludf.DUMMYFUNCTION("""COMPUTED_VALUE"""),2.28)</f>
        <v>2.2799999999999998</v>
      </c>
      <c r="Z28" s="83">
        <f ca="1">IFERROR(__xludf.DUMMYFUNCTION("""COMPUTED_VALUE"""),5)</f>
        <v>5</v>
      </c>
      <c r="AA28" s="75" t="str">
        <f ca="1">IFERROR(__xludf.DUMMYFUNCTION("""COMPUTED_VALUE"""),"Pass")</f>
        <v>Pass</v>
      </c>
      <c r="AB28" s="82">
        <f ca="1">IFERROR(__xludf.DUMMYFUNCTION("""COMPUTED_VALUE"""),0.6)</f>
        <v>0.6</v>
      </c>
      <c r="AC28" s="83">
        <f ca="1">IFERROR(__xludf.DUMMYFUNCTION("""COMPUTED_VALUE"""),2)</f>
        <v>2</v>
      </c>
      <c r="AD28" s="75" t="str">
        <f ca="1">IFERROR(__xludf.DUMMYFUNCTION("""COMPUTED_VALUE"""),"Station Fail")</f>
        <v>Station Fail</v>
      </c>
      <c r="AE28" s="82">
        <f ca="1">IFERROR(__xludf.DUMMYFUNCTION("""COMPUTED_VALUE"""),1.728)</f>
        <v>1.728</v>
      </c>
      <c r="AF28" s="83">
        <f ca="1">IFERROR(__xludf.DUMMYFUNCTION("""COMPUTED_VALUE"""),4)</f>
        <v>4</v>
      </c>
      <c r="AG28" s="75" t="str">
        <f ca="1">IFERROR(__xludf.DUMMYFUNCTION("""COMPUTED_VALUE"""),"Pass")</f>
        <v>Pass</v>
      </c>
      <c r="AH28" s="82">
        <f ca="1">IFERROR(__xludf.DUMMYFUNCTION("""COMPUTED_VALUE"""),1.64571428571428)</f>
        <v>1.6457142857142799</v>
      </c>
      <c r="AI28" s="83">
        <f ca="1">IFERROR(__xludf.DUMMYFUNCTION("""COMPUTED_VALUE"""),4)</f>
        <v>4</v>
      </c>
      <c r="AJ28" s="75" t="str">
        <f ca="1">IFERROR(__xludf.DUMMYFUNCTION("""COMPUTED_VALUE"""),"Pass")</f>
        <v>Pass</v>
      </c>
      <c r="AK28" s="82">
        <f ca="1">IFERROR(__xludf.DUMMYFUNCTION("""COMPUTED_VALUE"""),2.025)</f>
        <v>2.0249999999999999</v>
      </c>
      <c r="AL28" s="83">
        <f ca="1">IFERROR(__xludf.DUMMYFUNCTION("""COMPUTED_VALUE"""),3)</f>
        <v>3</v>
      </c>
      <c r="AM28" s="75" t="str">
        <f ca="1">IFERROR(__xludf.DUMMYFUNCTION("""COMPUTED_VALUE"""),"Pass")</f>
        <v>Pass</v>
      </c>
      <c r="AN28" s="82">
        <f ca="1">IFERROR(__xludf.DUMMYFUNCTION("""COMPUTED_VALUE"""),1.66153846153846)</f>
        <v>1.6615384615384601</v>
      </c>
      <c r="AO28" s="83">
        <f ca="1">IFERROR(__xludf.DUMMYFUNCTION("""COMPUTED_VALUE"""),4)</f>
        <v>4</v>
      </c>
      <c r="AP28" s="75" t="str">
        <f ca="1">IFERROR(__xludf.DUMMYFUNCTION("""COMPUTED_VALUE"""),"Pass")</f>
        <v>Pass</v>
      </c>
      <c r="AQ28" s="82"/>
      <c r="AR28" s="83"/>
      <c r="AS28" s="75"/>
      <c r="AT28" s="82"/>
      <c r="AU28" s="83"/>
      <c r="AV28" s="75"/>
      <c r="AW28" s="82"/>
      <c r="AX28" s="83"/>
      <c r="AY28" s="75"/>
      <c r="AZ28" s="82"/>
      <c r="BA28" s="83"/>
      <c r="BB28" s="75"/>
      <c r="BC28" s="82"/>
      <c r="BD28" s="83"/>
      <c r="BE28" s="75"/>
      <c r="BF28" s="82"/>
      <c r="BG28" s="83"/>
      <c r="BH28" s="75"/>
      <c r="BI28" s="46"/>
    </row>
    <row r="29" spans="1:61" ht="22.5" customHeight="1" x14ac:dyDescent="0.25">
      <c r="A29" s="46"/>
      <c r="B29" s="75"/>
      <c r="C29" s="75"/>
      <c r="D29" s="75"/>
      <c r="E29" s="75" t="str">
        <f ca="1">IFERROR(__xludf.DUMMYFUNCTION("""COMPUTED_VALUE"""),"G03")</f>
        <v>G03</v>
      </c>
      <c r="F29" s="76"/>
      <c r="G29" s="77">
        <f ca="1">IFERROR(__xludf.DUMMYFUNCTION("""COMPUTED_VALUE"""),0)</f>
        <v>0</v>
      </c>
      <c r="H29" s="78">
        <f ca="1">IFERROR(__xludf.DUMMYFUNCTION("""COMPUTED_VALUE"""),10)</f>
        <v>10</v>
      </c>
      <c r="I29" s="79">
        <f ca="1">IFERROR(__xludf.DUMMYFUNCTION("""COMPUTED_VALUE"""),0)</f>
        <v>0</v>
      </c>
      <c r="J29" s="264"/>
      <c r="K29" s="82">
        <f ca="1">IFERROR(__xludf.DUMMYFUNCTION("""COMPUTED_VALUE"""),21.22)</f>
        <v>21.22</v>
      </c>
      <c r="L29" s="81" t="str">
        <f ca="1">IFERROR(__xludf.DUMMYFUNCTION("""COMPUTED_VALUE"""),"Pass")</f>
        <v>Pass</v>
      </c>
      <c r="M29" s="82">
        <f ca="1">IFERROR(__xludf.DUMMYFUNCTION("""COMPUTED_VALUE"""),1.72499999999999)</f>
        <v>1.7249999999999901</v>
      </c>
      <c r="N29" s="83">
        <f ca="1">IFERROR(__xludf.DUMMYFUNCTION("""COMPUTED_VALUE"""),4)</f>
        <v>4</v>
      </c>
      <c r="O29" s="75" t="str">
        <f ca="1">IFERROR(__xludf.DUMMYFUNCTION("""COMPUTED_VALUE"""),"Pass")</f>
        <v>Pass</v>
      </c>
      <c r="P29" s="82">
        <f ca="1">IFERROR(__xludf.DUMMYFUNCTION("""COMPUTED_VALUE"""),2.4)</f>
        <v>2.4</v>
      </c>
      <c r="Q29" s="83">
        <f ca="1">IFERROR(__xludf.DUMMYFUNCTION("""COMPUTED_VALUE"""),5)</f>
        <v>5</v>
      </c>
      <c r="R29" s="75" t="str">
        <f ca="1">IFERROR(__xludf.DUMMYFUNCTION("""COMPUTED_VALUE"""),"Pass")</f>
        <v>Pass</v>
      </c>
      <c r="S29" s="82">
        <f ca="1">IFERROR(__xludf.DUMMYFUNCTION("""COMPUTED_VALUE"""),2.19999999999999)</f>
        <v>2.19999999999999</v>
      </c>
      <c r="T29" s="83">
        <f ca="1">IFERROR(__xludf.DUMMYFUNCTION("""COMPUTED_VALUE"""),4)</f>
        <v>4</v>
      </c>
      <c r="U29" s="75" t="str">
        <f ca="1">IFERROR(__xludf.DUMMYFUNCTION("""COMPUTED_VALUE"""),"Pass")</f>
        <v>Pass</v>
      </c>
      <c r="V29" s="82">
        <f ca="1">IFERROR(__xludf.DUMMYFUNCTION("""COMPUTED_VALUE"""),2.28)</f>
        <v>2.2799999999999998</v>
      </c>
      <c r="W29" s="83">
        <f ca="1">IFERROR(__xludf.DUMMYFUNCTION("""COMPUTED_VALUE"""),5)</f>
        <v>5</v>
      </c>
      <c r="X29" s="75" t="str">
        <f ca="1">IFERROR(__xludf.DUMMYFUNCTION("""COMPUTED_VALUE"""),"Pass")</f>
        <v>Pass</v>
      </c>
      <c r="Y29" s="82">
        <f ca="1">IFERROR(__xludf.DUMMYFUNCTION("""COMPUTED_VALUE"""),2.4)</f>
        <v>2.4</v>
      </c>
      <c r="Z29" s="83">
        <f ca="1">IFERROR(__xludf.DUMMYFUNCTION("""COMPUTED_VALUE"""),5)</f>
        <v>5</v>
      </c>
      <c r="AA29" s="75" t="str">
        <f ca="1">IFERROR(__xludf.DUMMYFUNCTION("""COMPUTED_VALUE"""),"Pass")</f>
        <v>Pass</v>
      </c>
      <c r="AB29" s="82">
        <f ca="1">IFERROR(__xludf.DUMMYFUNCTION("""COMPUTED_VALUE"""),2.19999999999999)</f>
        <v>2.19999999999999</v>
      </c>
      <c r="AC29" s="83">
        <f ca="1">IFERROR(__xludf.DUMMYFUNCTION("""COMPUTED_VALUE"""),5)</f>
        <v>5</v>
      </c>
      <c r="AD29" s="75" t="str">
        <f ca="1">IFERROR(__xludf.DUMMYFUNCTION("""COMPUTED_VALUE"""),"Pass")</f>
        <v>Pass</v>
      </c>
      <c r="AE29" s="82">
        <f ca="1">IFERROR(__xludf.DUMMYFUNCTION("""COMPUTED_VALUE"""),2.112)</f>
        <v>2.1120000000000001</v>
      </c>
      <c r="AF29" s="83">
        <f ca="1">IFERROR(__xludf.DUMMYFUNCTION("""COMPUTED_VALUE"""),5)</f>
        <v>5</v>
      </c>
      <c r="AG29" s="75" t="str">
        <f ca="1">IFERROR(__xludf.DUMMYFUNCTION("""COMPUTED_VALUE"""),"Pass")</f>
        <v>Pass</v>
      </c>
      <c r="AH29" s="82">
        <f ca="1">IFERROR(__xludf.DUMMYFUNCTION("""COMPUTED_VALUE"""),1.98857142857142)</f>
        <v>1.98857142857142</v>
      </c>
      <c r="AI29" s="83">
        <f ca="1">IFERROR(__xludf.DUMMYFUNCTION("""COMPUTED_VALUE"""),4)</f>
        <v>4</v>
      </c>
      <c r="AJ29" s="75" t="str">
        <f ca="1">IFERROR(__xludf.DUMMYFUNCTION("""COMPUTED_VALUE"""),"Pass")</f>
        <v>Pass</v>
      </c>
      <c r="AK29" s="82">
        <f ca="1">IFERROR(__xludf.DUMMYFUNCTION("""COMPUTED_VALUE"""),2.25)</f>
        <v>2.25</v>
      </c>
      <c r="AL29" s="83">
        <f ca="1">IFERROR(__xludf.DUMMYFUNCTION("""COMPUTED_VALUE"""),4)</f>
        <v>4</v>
      </c>
      <c r="AM29" s="75" t="str">
        <f ca="1">IFERROR(__xludf.DUMMYFUNCTION("""COMPUTED_VALUE"""),"Pass")</f>
        <v>Pass</v>
      </c>
      <c r="AN29" s="82">
        <f ca="1">IFERROR(__xludf.DUMMYFUNCTION("""COMPUTED_VALUE"""),1.66153846153846)</f>
        <v>1.6615384615384601</v>
      </c>
      <c r="AO29" s="83">
        <f ca="1">IFERROR(__xludf.DUMMYFUNCTION("""COMPUTED_VALUE"""),2)</f>
        <v>2</v>
      </c>
      <c r="AP29" s="75" t="str">
        <f ca="1">IFERROR(__xludf.DUMMYFUNCTION("""COMPUTED_VALUE"""),"Pass")</f>
        <v>Pass</v>
      </c>
      <c r="AQ29" s="82"/>
      <c r="AR29" s="83"/>
      <c r="AS29" s="75"/>
      <c r="AT29" s="82"/>
      <c r="AU29" s="83"/>
      <c r="AV29" s="75"/>
      <c r="AW29" s="82"/>
      <c r="AX29" s="83"/>
      <c r="AY29" s="75"/>
      <c r="AZ29" s="82"/>
      <c r="BA29" s="83"/>
      <c r="BB29" s="75"/>
      <c r="BC29" s="82"/>
      <c r="BD29" s="83"/>
      <c r="BE29" s="75"/>
      <c r="BF29" s="82"/>
      <c r="BG29" s="83"/>
      <c r="BH29" s="75"/>
      <c r="BI29" s="46"/>
    </row>
    <row r="30" spans="1:61" ht="22.5" customHeight="1" x14ac:dyDescent="0.25">
      <c r="A30" s="46"/>
      <c r="B30" s="75"/>
      <c r="C30" s="75"/>
      <c r="D30" s="75"/>
      <c r="E30" s="75" t="str">
        <f ca="1">IFERROR(__xludf.DUMMYFUNCTION("""COMPUTED_VALUE"""),"G03")</f>
        <v>G03</v>
      </c>
      <c r="F30" s="76"/>
      <c r="G30" s="77">
        <f ca="1">IFERROR(__xludf.DUMMYFUNCTION("""COMPUTED_VALUE"""),0)</f>
        <v>0</v>
      </c>
      <c r="H30" s="78">
        <f ca="1">IFERROR(__xludf.DUMMYFUNCTION("""COMPUTED_VALUE"""),10)</f>
        <v>10</v>
      </c>
      <c r="I30" s="79">
        <f ca="1">IFERROR(__xludf.DUMMYFUNCTION("""COMPUTED_VALUE"""),1)</f>
        <v>1</v>
      </c>
      <c r="J30" s="264"/>
      <c r="K30" s="82">
        <f ca="1">IFERROR(__xludf.DUMMYFUNCTION("""COMPUTED_VALUE"""),17.93)</f>
        <v>17.93</v>
      </c>
      <c r="L30" s="81" t="str">
        <f ca="1">IFERROR(__xludf.DUMMYFUNCTION("""COMPUTED_VALUE"""),"Pass")</f>
        <v>Pass</v>
      </c>
      <c r="M30" s="82">
        <f ca="1">IFERROR(__xludf.DUMMYFUNCTION("""COMPUTED_VALUE"""),2.25)</f>
        <v>2.25</v>
      </c>
      <c r="N30" s="83">
        <f ca="1">IFERROR(__xludf.DUMMYFUNCTION("""COMPUTED_VALUE"""),4)</f>
        <v>4</v>
      </c>
      <c r="O30" s="75" t="str">
        <f ca="1">IFERROR(__xludf.DUMMYFUNCTION("""COMPUTED_VALUE"""),"Pass")</f>
        <v>Pass</v>
      </c>
      <c r="P30" s="82">
        <f ca="1">IFERROR(__xludf.DUMMYFUNCTION("""COMPUTED_VALUE"""),2.32258064516129)</f>
        <v>2.32258064516129</v>
      </c>
      <c r="Q30" s="83">
        <f ca="1">IFERROR(__xludf.DUMMYFUNCTION("""COMPUTED_VALUE"""),5)</f>
        <v>5</v>
      </c>
      <c r="R30" s="75" t="str">
        <f ca="1">IFERROR(__xludf.DUMMYFUNCTION("""COMPUTED_VALUE"""),"Pass")</f>
        <v>Pass</v>
      </c>
      <c r="S30" s="82">
        <f ca="1">IFERROR(__xludf.DUMMYFUNCTION("""COMPUTED_VALUE"""),1.79999999999999)</f>
        <v>1.7999999999999901</v>
      </c>
      <c r="T30" s="83">
        <f ca="1">IFERROR(__xludf.DUMMYFUNCTION("""COMPUTED_VALUE"""),3)</f>
        <v>3</v>
      </c>
      <c r="U30" s="75" t="str">
        <f ca="1">IFERROR(__xludf.DUMMYFUNCTION("""COMPUTED_VALUE"""),"Pass")</f>
        <v>Pass</v>
      </c>
      <c r="V30" s="82">
        <f ca="1">IFERROR(__xludf.DUMMYFUNCTION("""COMPUTED_VALUE"""),1.56)</f>
        <v>1.56</v>
      </c>
      <c r="W30" s="83">
        <f ca="1">IFERROR(__xludf.DUMMYFUNCTION("""COMPUTED_VALUE"""),4)</f>
        <v>4</v>
      </c>
      <c r="X30" s="75" t="str">
        <f ca="1">IFERROR(__xludf.DUMMYFUNCTION("""COMPUTED_VALUE"""),"Pass")</f>
        <v>Pass</v>
      </c>
      <c r="Y30" s="82">
        <f ca="1">IFERROR(__xludf.DUMMYFUNCTION("""COMPUTED_VALUE"""),1.79999999999999)</f>
        <v>1.7999999999999901</v>
      </c>
      <c r="Z30" s="83">
        <f ca="1">IFERROR(__xludf.DUMMYFUNCTION("""COMPUTED_VALUE"""),4)</f>
        <v>4</v>
      </c>
      <c r="AA30" s="75" t="str">
        <f ca="1">IFERROR(__xludf.DUMMYFUNCTION("""COMPUTED_VALUE"""),"Pass")</f>
        <v>Pass</v>
      </c>
      <c r="AB30" s="82">
        <f ca="1">IFERROR(__xludf.DUMMYFUNCTION("""COMPUTED_VALUE"""),1.59999999999999)</f>
        <v>1.5999999999999901</v>
      </c>
      <c r="AC30" s="83">
        <f ca="1">IFERROR(__xludf.DUMMYFUNCTION("""COMPUTED_VALUE"""),4)</f>
        <v>4</v>
      </c>
      <c r="AD30" s="75" t="str">
        <f ca="1">IFERROR(__xludf.DUMMYFUNCTION("""COMPUTED_VALUE"""),"Pass")</f>
        <v>Pass</v>
      </c>
      <c r="AE30" s="82">
        <f ca="1">IFERROR(__xludf.DUMMYFUNCTION("""COMPUTED_VALUE"""),1.92)</f>
        <v>1.92</v>
      </c>
      <c r="AF30" s="83">
        <f ca="1">IFERROR(__xludf.DUMMYFUNCTION("""COMPUTED_VALUE"""),4)</f>
        <v>4</v>
      </c>
      <c r="AG30" s="75" t="str">
        <f ca="1">IFERROR(__xludf.DUMMYFUNCTION("""COMPUTED_VALUE"""),"Pass")</f>
        <v>Pass</v>
      </c>
      <c r="AH30" s="82">
        <f ca="1">IFERROR(__xludf.DUMMYFUNCTION("""COMPUTED_VALUE"""),1.57714285714285)</f>
        <v>1.5771428571428501</v>
      </c>
      <c r="AI30" s="83">
        <f ca="1">IFERROR(__xludf.DUMMYFUNCTION("""COMPUTED_VALUE"""),4)</f>
        <v>4</v>
      </c>
      <c r="AJ30" s="75" t="str">
        <f ca="1">IFERROR(__xludf.DUMMYFUNCTION("""COMPUTED_VALUE"""),"Pass")</f>
        <v>Pass</v>
      </c>
      <c r="AK30" s="82">
        <f ca="1">IFERROR(__xludf.DUMMYFUNCTION("""COMPUTED_VALUE"""),2.175)</f>
        <v>2.1749999999999998</v>
      </c>
      <c r="AL30" s="83">
        <f ca="1">IFERROR(__xludf.DUMMYFUNCTION("""COMPUTED_VALUE"""),5)</f>
        <v>5</v>
      </c>
      <c r="AM30" s="75" t="str">
        <f ca="1">IFERROR(__xludf.DUMMYFUNCTION("""COMPUTED_VALUE"""),"Pass")</f>
        <v>Pass</v>
      </c>
      <c r="AN30" s="82">
        <f ca="1">IFERROR(__xludf.DUMMYFUNCTION("""COMPUTED_VALUE"""),0.923076923076923)</f>
        <v>0.92307692307692302</v>
      </c>
      <c r="AO30" s="83">
        <f ca="1">IFERROR(__xludf.DUMMYFUNCTION("""COMPUTED_VALUE"""),1)</f>
        <v>1</v>
      </c>
      <c r="AP30" s="75" t="str">
        <f ca="1">IFERROR(__xludf.DUMMYFUNCTION("""COMPUTED_VALUE"""),"Station Fail")</f>
        <v>Station Fail</v>
      </c>
      <c r="AQ30" s="82"/>
      <c r="AR30" s="83"/>
      <c r="AS30" s="75"/>
      <c r="AT30" s="82"/>
      <c r="AU30" s="83"/>
      <c r="AV30" s="75"/>
      <c r="AW30" s="82"/>
      <c r="AX30" s="83"/>
      <c r="AY30" s="75"/>
      <c r="AZ30" s="82"/>
      <c r="BA30" s="83"/>
      <c r="BB30" s="75"/>
      <c r="BC30" s="82"/>
      <c r="BD30" s="83"/>
      <c r="BE30" s="75"/>
      <c r="BF30" s="82"/>
      <c r="BG30" s="83"/>
      <c r="BH30" s="75"/>
      <c r="BI30" s="46"/>
    </row>
    <row r="31" spans="1:61" ht="22.5" customHeight="1" x14ac:dyDescent="0.25">
      <c r="A31" s="46"/>
      <c r="B31" s="75"/>
      <c r="C31" s="75"/>
      <c r="D31" s="75"/>
      <c r="E31" s="75" t="str">
        <f ca="1">IFERROR(__xludf.DUMMYFUNCTION("""COMPUTED_VALUE"""),"G03")</f>
        <v>G03</v>
      </c>
      <c r="F31" s="76"/>
      <c r="G31" s="77">
        <f ca="1">IFERROR(__xludf.DUMMYFUNCTION("""COMPUTED_VALUE"""),0)</f>
        <v>0</v>
      </c>
      <c r="H31" s="78">
        <f ca="1">IFERROR(__xludf.DUMMYFUNCTION("""COMPUTED_VALUE"""),10)</f>
        <v>10</v>
      </c>
      <c r="I31" s="79">
        <f ca="1">IFERROR(__xludf.DUMMYFUNCTION("""COMPUTED_VALUE"""),3)</f>
        <v>3</v>
      </c>
      <c r="J31" s="264"/>
      <c r="K31" s="82">
        <f ca="1">IFERROR(__xludf.DUMMYFUNCTION("""COMPUTED_VALUE"""),16.79)</f>
        <v>16.79</v>
      </c>
      <c r="L31" s="81" t="str">
        <f ca="1">IFERROR(__xludf.DUMMYFUNCTION("""COMPUTED_VALUE"""),"Pass")</f>
        <v>Pass</v>
      </c>
      <c r="M31" s="82">
        <f ca="1">IFERROR(__xludf.DUMMYFUNCTION("""COMPUTED_VALUE"""),1.875)</f>
        <v>1.875</v>
      </c>
      <c r="N31" s="83">
        <f ca="1">IFERROR(__xludf.DUMMYFUNCTION("""COMPUTED_VALUE"""),4)</f>
        <v>4</v>
      </c>
      <c r="O31" s="75" t="str">
        <f ca="1">IFERROR(__xludf.DUMMYFUNCTION("""COMPUTED_VALUE"""),"Pass")</f>
        <v>Pass</v>
      </c>
      <c r="P31" s="82">
        <f ca="1">IFERROR(__xludf.DUMMYFUNCTION("""COMPUTED_VALUE"""),1.70322580645161)</f>
        <v>1.7032258064516099</v>
      </c>
      <c r="Q31" s="83">
        <f ca="1">IFERROR(__xludf.DUMMYFUNCTION("""COMPUTED_VALUE"""),3)</f>
        <v>3</v>
      </c>
      <c r="R31" s="75" t="str">
        <f ca="1">IFERROR(__xludf.DUMMYFUNCTION("""COMPUTED_VALUE"""),"Pass")</f>
        <v>Pass</v>
      </c>
      <c r="S31" s="82">
        <f ca="1">IFERROR(__xludf.DUMMYFUNCTION("""COMPUTED_VALUE"""),1.79999999999999)</f>
        <v>1.7999999999999901</v>
      </c>
      <c r="T31" s="83">
        <f ca="1">IFERROR(__xludf.DUMMYFUNCTION("""COMPUTED_VALUE"""),4)</f>
        <v>4</v>
      </c>
      <c r="U31" s="75" t="str">
        <f ca="1">IFERROR(__xludf.DUMMYFUNCTION("""COMPUTED_VALUE"""),"Pass")</f>
        <v>Pass</v>
      </c>
      <c r="V31" s="82">
        <f ca="1">IFERROR(__xludf.DUMMYFUNCTION("""COMPUTED_VALUE"""),2.16)</f>
        <v>2.16</v>
      </c>
      <c r="W31" s="83">
        <f ca="1">IFERROR(__xludf.DUMMYFUNCTION("""COMPUTED_VALUE"""),5)</f>
        <v>5</v>
      </c>
      <c r="X31" s="75" t="str">
        <f ca="1">IFERROR(__xludf.DUMMYFUNCTION("""COMPUTED_VALUE"""),"Pass")</f>
        <v>Pass</v>
      </c>
      <c r="Y31" s="82">
        <f ca="1">IFERROR(__xludf.DUMMYFUNCTION("""COMPUTED_VALUE"""),2.16)</f>
        <v>2.16</v>
      </c>
      <c r="Z31" s="83">
        <f ca="1">IFERROR(__xludf.DUMMYFUNCTION("""COMPUTED_VALUE"""),5)</f>
        <v>5</v>
      </c>
      <c r="AA31" s="75" t="str">
        <f ca="1">IFERROR(__xludf.DUMMYFUNCTION("""COMPUTED_VALUE"""),"Pass")</f>
        <v>Pass</v>
      </c>
      <c r="AB31" s="82">
        <f ca="1">IFERROR(__xludf.DUMMYFUNCTION("""COMPUTED_VALUE"""),1.29999999999999)</f>
        <v>1.2999999999999901</v>
      </c>
      <c r="AC31" s="83">
        <f ca="1">IFERROR(__xludf.DUMMYFUNCTION("""COMPUTED_VALUE"""),3)</f>
        <v>3</v>
      </c>
      <c r="AD31" s="75" t="str">
        <f ca="1">IFERROR(__xludf.DUMMYFUNCTION("""COMPUTED_VALUE"""),"Station Fail")</f>
        <v>Station Fail</v>
      </c>
      <c r="AE31" s="82">
        <f ca="1">IFERROR(__xludf.DUMMYFUNCTION("""COMPUTED_VALUE"""),2.304)</f>
        <v>2.3039999999999998</v>
      </c>
      <c r="AF31" s="83">
        <f ca="1">IFERROR(__xludf.DUMMYFUNCTION("""COMPUTED_VALUE"""),5)</f>
        <v>5</v>
      </c>
      <c r="AG31" s="75" t="str">
        <f ca="1">IFERROR(__xludf.DUMMYFUNCTION("""COMPUTED_VALUE"""),"Pass")</f>
        <v>Pass</v>
      </c>
      <c r="AH31" s="82">
        <f ca="1">IFERROR(__xludf.DUMMYFUNCTION("""COMPUTED_VALUE"""),1.50857142857142)</f>
        <v>1.50857142857142</v>
      </c>
      <c r="AI31" s="83">
        <f ca="1">IFERROR(__xludf.DUMMYFUNCTION("""COMPUTED_VALUE"""),3)</f>
        <v>3</v>
      </c>
      <c r="AJ31" s="75" t="str">
        <f ca="1">IFERROR(__xludf.DUMMYFUNCTION("""COMPUTED_VALUE"""),"Pass")</f>
        <v>Pass</v>
      </c>
      <c r="AK31" s="82">
        <f ca="1">IFERROR(__xludf.DUMMYFUNCTION("""COMPUTED_VALUE"""),1.425)</f>
        <v>1.425</v>
      </c>
      <c r="AL31" s="83">
        <f ca="1">IFERROR(__xludf.DUMMYFUNCTION("""COMPUTED_VALUE"""),3)</f>
        <v>3</v>
      </c>
      <c r="AM31" s="75" t="str">
        <f ca="1">IFERROR(__xludf.DUMMYFUNCTION("""COMPUTED_VALUE"""),"Station Fail")</f>
        <v>Station Fail</v>
      </c>
      <c r="AN31" s="82">
        <f ca="1">IFERROR(__xludf.DUMMYFUNCTION("""COMPUTED_VALUE"""),0.553846153846153)</f>
        <v>0.55384615384615299</v>
      </c>
      <c r="AO31" s="83">
        <f ca="1">IFERROR(__xludf.DUMMYFUNCTION("""COMPUTED_VALUE"""),2)</f>
        <v>2</v>
      </c>
      <c r="AP31" s="75" t="str">
        <f ca="1">IFERROR(__xludf.DUMMYFUNCTION("""COMPUTED_VALUE"""),"Station Fail")</f>
        <v>Station Fail</v>
      </c>
      <c r="AQ31" s="82"/>
      <c r="AR31" s="83"/>
      <c r="AS31" s="75"/>
      <c r="AT31" s="82"/>
      <c r="AU31" s="83"/>
      <c r="AV31" s="75"/>
      <c r="AW31" s="82"/>
      <c r="AX31" s="83"/>
      <c r="AY31" s="75"/>
      <c r="AZ31" s="82"/>
      <c r="BA31" s="83"/>
      <c r="BB31" s="75"/>
      <c r="BC31" s="82"/>
      <c r="BD31" s="83"/>
      <c r="BE31" s="75"/>
      <c r="BF31" s="82"/>
      <c r="BG31" s="83"/>
      <c r="BH31" s="75"/>
      <c r="BI31" s="46"/>
    </row>
    <row r="32" spans="1:61" ht="22.5" customHeight="1" x14ac:dyDescent="0.25">
      <c r="A32" s="46"/>
      <c r="B32" s="75"/>
      <c r="C32" s="75"/>
      <c r="D32" s="75"/>
      <c r="E32" s="75" t="str">
        <f ca="1">IFERROR(__xludf.DUMMYFUNCTION("""COMPUTED_VALUE"""),"G03")</f>
        <v>G03</v>
      </c>
      <c r="F32" s="76"/>
      <c r="G32" s="77">
        <f ca="1">IFERROR(__xludf.DUMMYFUNCTION("""COMPUTED_VALUE"""),0)</f>
        <v>0</v>
      </c>
      <c r="H32" s="78">
        <f ca="1">IFERROR(__xludf.DUMMYFUNCTION("""COMPUTED_VALUE"""),10)</f>
        <v>10</v>
      </c>
      <c r="I32" s="79">
        <f ca="1">IFERROR(__xludf.DUMMYFUNCTION("""COMPUTED_VALUE"""),3)</f>
        <v>3</v>
      </c>
      <c r="J32" s="264"/>
      <c r="K32" s="82">
        <f ca="1">IFERROR(__xludf.DUMMYFUNCTION("""COMPUTED_VALUE"""),17.7)</f>
        <v>17.7</v>
      </c>
      <c r="L32" s="81" t="str">
        <f ca="1">IFERROR(__xludf.DUMMYFUNCTION("""COMPUTED_VALUE"""),"Pass")</f>
        <v>Pass</v>
      </c>
      <c r="M32" s="82">
        <f ca="1">IFERROR(__xludf.DUMMYFUNCTION("""COMPUTED_VALUE"""),1.5)</f>
        <v>1.5</v>
      </c>
      <c r="N32" s="83">
        <f ca="1">IFERROR(__xludf.DUMMYFUNCTION("""COMPUTED_VALUE"""),3)</f>
        <v>3</v>
      </c>
      <c r="O32" s="75" t="str">
        <f ca="1">IFERROR(__xludf.DUMMYFUNCTION("""COMPUTED_VALUE"""),"Pass")</f>
        <v>Pass</v>
      </c>
      <c r="P32" s="82">
        <f ca="1">IFERROR(__xludf.DUMMYFUNCTION("""COMPUTED_VALUE"""),2.4)</f>
        <v>2.4</v>
      </c>
      <c r="Q32" s="83">
        <f ca="1">IFERROR(__xludf.DUMMYFUNCTION("""COMPUTED_VALUE"""),5)</f>
        <v>5</v>
      </c>
      <c r="R32" s="75" t="str">
        <f ca="1">IFERROR(__xludf.DUMMYFUNCTION("""COMPUTED_VALUE"""),"Pass")</f>
        <v>Pass</v>
      </c>
      <c r="S32" s="82">
        <f ca="1">IFERROR(__xludf.DUMMYFUNCTION("""COMPUTED_VALUE"""),1.9)</f>
        <v>1.9</v>
      </c>
      <c r="T32" s="83">
        <f ca="1">IFERROR(__xludf.DUMMYFUNCTION("""COMPUTED_VALUE"""),3)</f>
        <v>3</v>
      </c>
      <c r="U32" s="75" t="str">
        <f ca="1">IFERROR(__xludf.DUMMYFUNCTION("""COMPUTED_VALUE"""),"Pass")</f>
        <v>Pass</v>
      </c>
      <c r="V32" s="82">
        <f ca="1">IFERROR(__xludf.DUMMYFUNCTION("""COMPUTED_VALUE"""),2.04)</f>
        <v>2.04</v>
      </c>
      <c r="W32" s="83">
        <f ca="1">IFERROR(__xludf.DUMMYFUNCTION("""COMPUTED_VALUE"""),5)</f>
        <v>5</v>
      </c>
      <c r="X32" s="75" t="str">
        <f ca="1">IFERROR(__xludf.DUMMYFUNCTION("""COMPUTED_VALUE"""),"Pass")</f>
        <v>Pass</v>
      </c>
      <c r="Y32" s="82">
        <f ca="1">IFERROR(__xludf.DUMMYFUNCTION("""COMPUTED_VALUE"""),2.16)</f>
        <v>2.16</v>
      </c>
      <c r="Z32" s="83">
        <f ca="1">IFERROR(__xludf.DUMMYFUNCTION("""COMPUTED_VALUE"""),5)</f>
        <v>5</v>
      </c>
      <c r="AA32" s="75" t="str">
        <f ca="1">IFERROR(__xludf.DUMMYFUNCTION("""COMPUTED_VALUE"""),"Pass")</f>
        <v>Pass</v>
      </c>
      <c r="AB32" s="82">
        <f ca="1">IFERROR(__xludf.DUMMYFUNCTION("""COMPUTED_VALUE"""),1.4)</f>
        <v>1.4</v>
      </c>
      <c r="AC32" s="83">
        <f ca="1">IFERROR(__xludf.DUMMYFUNCTION("""COMPUTED_VALUE"""),3)</f>
        <v>3</v>
      </c>
      <c r="AD32" s="75" t="str">
        <f ca="1">IFERROR(__xludf.DUMMYFUNCTION("""COMPUTED_VALUE"""),"Station Fail")</f>
        <v>Station Fail</v>
      </c>
      <c r="AE32" s="82">
        <f ca="1">IFERROR(__xludf.DUMMYFUNCTION("""COMPUTED_VALUE"""),2.304)</f>
        <v>2.3039999999999998</v>
      </c>
      <c r="AF32" s="83">
        <f ca="1">IFERROR(__xludf.DUMMYFUNCTION("""COMPUTED_VALUE"""),5)</f>
        <v>5</v>
      </c>
      <c r="AG32" s="75" t="str">
        <f ca="1">IFERROR(__xludf.DUMMYFUNCTION("""COMPUTED_VALUE"""),"Pass")</f>
        <v>Pass</v>
      </c>
      <c r="AH32" s="82">
        <f ca="1">IFERROR(__xludf.DUMMYFUNCTION("""COMPUTED_VALUE"""),1.30285714285714)</f>
        <v>1.30285714285714</v>
      </c>
      <c r="AI32" s="83">
        <f ca="1">IFERROR(__xludf.DUMMYFUNCTION("""COMPUTED_VALUE"""),3)</f>
        <v>3</v>
      </c>
      <c r="AJ32" s="75" t="str">
        <f ca="1">IFERROR(__xludf.DUMMYFUNCTION("""COMPUTED_VALUE"""),"Station Fail")</f>
        <v>Station Fail</v>
      </c>
      <c r="AK32" s="82">
        <f ca="1">IFERROR(__xludf.DUMMYFUNCTION("""COMPUTED_VALUE"""),1.95)</f>
        <v>1.95</v>
      </c>
      <c r="AL32" s="83">
        <f ca="1">IFERROR(__xludf.DUMMYFUNCTION("""COMPUTED_VALUE"""),3)</f>
        <v>3</v>
      </c>
      <c r="AM32" s="75" t="str">
        <f ca="1">IFERROR(__xludf.DUMMYFUNCTION("""COMPUTED_VALUE"""),"Pass")</f>
        <v>Pass</v>
      </c>
      <c r="AN32" s="82">
        <f ca="1">IFERROR(__xludf.DUMMYFUNCTION("""COMPUTED_VALUE"""),0.738461538461538)</f>
        <v>0.73846153846153795</v>
      </c>
      <c r="AO32" s="83">
        <f ca="1">IFERROR(__xludf.DUMMYFUNCTION("""COMPUTED_VALUE"""),2)</f>
        <v>2</v>
      </c>
      <c r="AP32" s="75" t="str">
        <f ca="1">IFERROR(__xludf.DUMMYFUNCTION("""COMPUTED_VALUE"""),"Station Fail")</f>
        <v>Station Fail</v>
      </c>
      <c r="AQ32" s="82"/>
      <c r="AR32" s="83"/>
      <c r="AS32" s="75"/>
      <c r="AT32" s="82"/>
      <c r="AU32" s="83"/>
      <c r="AV32" s="75"/>
      <c r="AW32" s="82"/>
      <c r="AX32" s="83"/>
      <c r="AY32" s="75"/>
      <c r="AZ32" s="82"/>
      <c r="BA32" s="83"/>
      <c r="BB32" s="75"/>
      <c r="BC32" s="82"/>
      <c r="BD32" s="83"/>
      <c r="BE32" s="75"/>
      <c r="BF32" s="82"/>
      <c r="BG32" s="83"/>
      <c r="BH32" s="75"/>
      <c r="BI32" s="46"/>
    </row>
    <row r="33" spans="1:61" ht="22.5" customHeight="1" x14ac:dyDescent="0.25">
      <c r="A33" s="46"/>
      <c r="B33" s="75"/>
      <c r="C33" s="84"/>
      <c r="D33" s="75"/>
      <c r="E33" s="75" t="str">
        <f ca="1">IFERROR(__xludf.DUMMYFUNCTION("""COMPUTED_VALUE"""),"G03")</f>
        <v>G03</v>
      </c>
      <c r="F33" s="76"/>
      <c r="G33" s="77">
        <f ca="1">IFERROR(__xludf.DUMMYFUNCTION("""COMPUTED_VALUE"""),0)</f>
        <v>0</v>
      </c>
      <c r="H33" s="78">
        <f ca="1">IFERROR(__xludf.DUMMYFUNCTION("""COMPUTED_VALUE"""),10)</f>
        <v>10</v>
      </c>
      <c r="I33" s="79">
        <f ca="1">IFERROR(__xludf.DUMMYFUNCTION("""COMPUTED_VALUE"""),0)</f>
        <v>0</v>
      </c>
      <c r="J33" s="264"/>
      <c r="K33" s="82">
        <f ca="1">IFERROR(__xludf.DUMMYFUNCTION("""COMPUTED_VALUE"""),19.44)</f>
        <v>19.440000000000001</v>
      </c>
      <c r="L33" s="81" t="str">
        <f ca="1">IFERROR(__xludf.DUMMYFUNCTION("""COMPUTED_VALUE"""),"Pass")</f>
        <v>Pass</v>
      </c>
      <c r="M33" s="82">
        <f ca="1">IFERROR(__xludf.DUMMYFUNCTION("""COMPUTED_VALUE"""),2.1)</f>
        <v>2.1</v>
      </c>
      <c r="N33" s="83">
        <f ca="1">IFERROR(__xludf.DUMMYFUNCTION("""COMPUTED_VALUE"""),4)</f>
        <v>4</v>
      </c>
      <c r="O33" s="75" t="str">
        <f ca="1">IFERROR(__xludf.DUMMYFUNCTION("""COMPUTED_VALUE"""),"Pass")</f>
        <v>Pass</v>
      </c>
      <c r="P33" s="82">
        <f ca="1">IFERROR(__xludf.DUMMYFUNCTION("""COMPUTED_VALUE"""),2.32258064516129)</f>
        <v>2.32258064516129</v>
      </c>
      <c r="Q33" s="83">
        <f ca="1">IFERROR(__xludf.DUMMYFUNCTION("""COMPUTED_VALUE"""),5)</f>
        <v>5</v>
      </c>
      <c r="R33" s="75" t="str">
        <f ca="1">IFERROR(__xludf.DUMMYFUNCTION("""COMPUTED_VALUE"""),"Pass")</f>
        <v>Pass</v>
      </c>
      <c r="S33" s="82">
        <f ca="1">IFERROR(__xludf.DUMMYFUNCTION("""COMPUTED_VALUE"""),2.19999999999999)</f>
        <v>2.19999999999999</v>
      </c>
      <c r="T33" s="83">
        <f ca="1">IFERROR(__xludf.DUMMYFUNCTION("""COMPUTED_VALUE"""),4)</f>
        <v>4</v>
      </c>
      <c r="U33" s="75" t="str">
        <f ca="1">IFERROR(__xludf.DUMMYFUNCTION("""COMPUTED_VALUE"""),"Pass")</f>
        <v>Pass</v>
      </c>
      <c r="V33" s="82">
        <f ca="1">IFERROR(__xludf.DUMMYFUNCTION("""COMPUTED_VALUE"""),1.44)</f>
        <v>1.44</v>
      </c>
      <c r="W33" s="83">
        <f ca="1">IFERROR(__xludf.DUMMYFUNCTION("""COMPUTED_VALUE"""),4)</f>
        <v>4</v>
      </c>
      <c r="X33" s="75" t="str">
        <f ca="1">IFERROR(__xludf.DUMMYFUNCTION("""COMPUTED_VALUE"""),"Pass")</f>
        <v>Pass</v>
      </c>
      <c r="Y33" s="82">
        <f ca="1">IFERROR(__xludf.DUMMYFUNCTION("""COMPUTED_VALUE"""),1.79999999999999)</f>
        <v>1.7999999999999901</v>
      </c>
      <c r="Z33" s="83">
        <f ca="1">IFERROR(__xludf.DUMMYFUNCTION("""COMPUTED_VALUE"""),4)</f>
        <v>4</v>
      </c>
      <c r="AA33" s="75" t="str">
        <f ca="1">IFERROR(__xludf.DUMMYFUNCTION("""COMPUTED_VALUE"""),"Pass")</f>
        <v>Pass</v>
      </c>
      <c r="AB33" s="82">
        <f ca="1">IFERROR(__xludf.DUMMYFUNCTION("""COMPUTED_VALUE"""),2)</f>
        <v>2</v>
      </c>
      <c r="AC33" s="83">
        <f ca="1">IFERROR(__xludf.DUMMYFUNCTION("""COMPUTED_VALUE"""),4)</f>
        <v>4</v>
      </c>
      <c r="AD33" s="75" t="str">
        <f ca="1">IFERROR(__xludf.DUMMYFUNCTION("""COMPUTED_VALUE"""),"Pass")</f>
        <v>Pass</v>
      </c>
      <c r="AE33" s="82">
        <f ca="1">IFERROR(__xludf.DUMMYFUNCTION("""COMPUTED_VALUE"""),1.728)</f>
        <v>1.728</v>
      </c>
      <c r="AF33" s="83">
        <f ca="1">IFERROR(__xludf.DUMMYFUNCTION("""COMPUTED_VALUE"""),4)</f>
        <v>4</v>
      </c>
      <c r="AG33" s="75" t="str">
        <f ca="1">IFERROR(__xludf.DUMMYFUNCTION("""COMPUTED_VALUE"""),"Pass")</f>
        <v>Pass</v>
      </c>
      <c r="AH33" s="82">
        <f ca="1">IFERROR(__xludf.DUMMYFUNCTION("""COMPUTED_VALUE"""),1.64571428571428)</f>
        <v>1.6457142857142799</v>
      </c>
      <c r="AI33" s="83">
        <f ca="1">IFERROR(__xludf.DUMMYFUNCTION("""COMPUTED_VALUE"""),4)</f>
        <v>4</v>
      </c>
      <c r="AJ33" s="75" t="str">
        <f ca="1">IFERROR(__xludf.DUMMYFUNCTION("""COMPUTED_VALUE"""),"Pass")</f>
        <v>Pass</v>
      </c>
      <c r="AK33" s="82">
        <f ca="1">IFERROR(__xludf.DUMMYFUNCTION("""COMPUTED_VALUE"""),2.175)</f>
        <v>2.1749999999999998</v>
      </c>
      <c r="AL33" s="83">
        <f ca="1">IFERROR(__xludf.DUMMYFUNCTION("""COMPUTED_VALUE"""),5)</f>
        <v>5</v>
      </c>
      <c r="AM33" s="75" t="str">
        <f ca="1">IFERROR(__xludf.DUMMYFUNCTION("""COMPUTED_VALUE"""),"Pass")</f>
        <v>Pass</v>
      </c>
      <c r="AN33" s="82">
        <f ca="1">IFERROR(__xludf.DUMMYFUNCTION("""COMPUTED_VALUE"""),2.03076923076923)</f>
        <v>2.0307692307692302</v>
      </c>
      <c r="AO33" s="83">
        <f ca="1">IFERROR(__xludf.DUMMYFUNCTION("""COMPUTED_VALUE"""),4)</f>
        <v>4</v>
      </c>
      <c r="AP33" s="75" t="str">
        <f ca="1">IFERROR(__xludf.DUMMYFUNCTION("""COMPUTED_VALUE"""),"Pass")</f>
        <v>Pass</v>
      </c>
      <c r="AQ33" s="82"/>
      <c r="AR33" s="83"/>
      <c r="AS33" s="75"/>
      <c r="AT33" s="82"/>
      <c r="AU33" s="83"/>
      <c r="AV33" s="75"/>
      <c r="AW33" s="82"/>
      <c r="AX33" s="83"/>
      <c r="AY33" s="75"/>
      <c r="AZ33" s="82"/>
      <c r="BA33" s="83"/>
      <c r="BB33" s="75"/>
      <c r="BC33" s="82"/>
      <c r="BD33" s="83"/>
      <c r="BE33" s="75"/>
      <c r="BF33" s="82"/>
      <c r="BG33" s="83"/>
      <c r="BH33" s="75"/>
      <c r="BI33" s="46"/>
    </row>
    <row r="34" spans="1:61" ht="22.5" customHeight="1" x14ac:dyDescent="0.25">
      <c r="A34" s="46"/>
      <c r="B34" s="75"/>
      <c r="C34" s="75"/>
      <c r="D34" s="75"/>
      <c r="E34" s="75" t="str">
        <f ca="1">IFERROR(__xludf.DUMMYFUNCTION("""COMPUTED_VALUE"""),"G03")</f>
        <v>G03</v>
      </c>
      <c r="F34" s="76"/>
      <c r="G34" s="77">
        <f ca="1">IFERROR(__xludf.DUMMYFUNCTION("""COMPUTED_VALUE"""),0)</f>
        <v>0</v>
      </c>
      <c r="H34" s="78">
        <f ca="1">IFERROR(__xludf.DUMMYFUNCTION("""COMPUTED_VALUE"""),10)</f>
        <v>10</v>
      </c>
      <c r="I34" s="79">
        <f ca="1">IFERROR(__xludf.DUMMYFUNCTION("""COMPUTED_VALUE"""),4)</f>
        <v>4</v>
      </c>
      <c r="J34" s="264"/>
      <c r="K34" s="82">
        <f ca="1">IFERROR(__xludf.DUMMYFUNCTION("""COMPUTED_VALUE"""),17.8)</f>
        <v>17.8</v>
      </c>
      <c r="L34" s="81" t="str">
        <f ca="1">IFERROR(__xludf.DUMMYFUNCTION("""COMPUTED_VALUE"""),"Pass")</f>
        <v>Pass</v>
      </c>
      <c r="M34" s="82">
        <f ca="1">IFERROR(__xludf.DUMMYFUNCTION("""COMPUTED_VALUE"""),1.275)</f>
        <v>1.2749999999999999</v>
      </c>
      <c r="N34" s="83">
        <f ca="1">IFERROR(__xludf.DUMMYFUNCTION("""COMPUTED_VALUE"""),4)</f>
        <v>4</v>
      </c>
      <c r="O34" s="75" t="str">
        <f ca="1">IFERROR(__xludf.DUMMYFUNCTION("""COMPUTED_VALUE"""),"Station Fail")</f>
        <v>Station Fail</v>
      </c>
      <c r="P34" s="82">
        <f ca="1">IFERROR(__xludf.DUMMYFUNCTION("""COMPUTED_VALUE"""),2.09032258064516)</f>
        <v>2.09032258064516</v>
      </c>
      <c r="Q34" s="83">
        <f ca="1">IFERROR(__xludf.DUMMYFUNCTION("""COMPUTED_VALUE"""),4)</f>
        <v>4</v>
      </c>
      <c r="R34" s="75" t="str">
        <f ca="1">IFERROR(__xludf.DUMMYFUNCTION("""COMPUTED_VALUE"""),"Pass")</f>
        <v>Pass</v>
      </c>
      <c r="S34" s="82">
        <f ca="1">IFERROR(__xludf.DUMMYFUNCTION("""COMPUTED_VALUE"""),2.1)</f>
        <v>2.1</v>
      </c>
      <c r="T34" s="83">
        <f ca="1">IFERROR(__xludf.DUMMYFUNCTION("""COMPUTED_VALUE"""),4)</f>
        <v>4</v>
      </c>
      <c r="U34" s="75" t="str">
        <f ca="1">IFERROR(__xludf.DUMMYFUNCTION("""COMPUTED_VALUE"""),"Pass")</f>
        <v>Pass</v>
      </c>
      <c r="V34" s="82">
        <f ca="1">IFERROR(__xludf.DUMMYFUNCTION("""COMPUTED_VALUE"""),2.4)</f>
        <v>2.4</v>
      </c>
      <c r="W34" s="83">
        <f ca="1">IFERROR(__xludf.DUMMYFUNCTION("""COMPUTED_VALUE"""),5)</f>
        <v>5</v>
      </c>
      <c r="X34" s="75" t="str">
        <f ca="1">IFERROR(__xludf.DUMMYFUNCTION("""COMPUTED_VALUE"""),"Pass")</f>
        <v>Pass</v>
      </c>
      <c r="Y34" s="82">
        <f ca="1">IFERROR(__xludf.DUMMYFUNCTION("""COMPUTED_VALUE"""),2.04)</f>
        <v>2.04</v>
      </c>
      <c r="Z34" s="83">
        <f ca="1">IFERROR(__xludf.DUMMYFUNCTION("""COMPUTED_VALUE"""),4)</f>
        <v>4</v>
      </c>
      <c r="AA34" s="75" t="str">
        <f ca="1">IFERROR(__xludf.DUMMYFUNCTION("""COMPUTED_VALUE"""),"Pass")</f>
        <v>Pass</v>
      </c>
      <c r="AB34" s="82">
        <f ca="1">IFERROR(__xludf.DUMMYFUNCTION("""COMPUTED_VALUE"""),1.09999999999999)</f>
        <v>1.0999999999999901</v>
      </c>
      <c r="AC34" s="83">
        <f ca="1">IFERROR(__xludf.DUMMYFUNCTION("""COMPUTED_VALUE"""),3)</f>
        <v>3</v>
      </c>
      <c r="AD34" s="75" t="str">
        <f ca="1">IFERROR(__xludf.DUMMYFUNCTION("""COMPUTED_VALUE"""),"Station Fail")</f>
        <v>Station Fail</v>
      </c>
      <c r="AE34" s="82">
        <f ca="1">IFERROR(__xludf.DUMMYFUNCTION("""COMPUTED_VALUE"""),2.208)</f>
        <v>2.2080000000000002</v>
      </c>
      <c r="AF34" s="83">
        <f ca="1">IFERROR(__xludf.DUMMYFUNCTION("""COMPUTED_VALUE"""),5)</f>
        <v>5</v>
      </c>
      <c r="AG34" s="75" t="str">
        <f ca="1">IFERROR(__xludf.DUMMYFUNCTION("""COMPUTED_VALUE"""),"Pass")</f>
        <v>Pass</v>
      </c>
      <c r="AH34" s="82">
        <f ca="1">IFERROR(__xludf.DUMMYFUNCTION("""COMPUTED_VALUE"""),1.30285714285714)</f>
        <v>1.30285714285714</v>
      </c>
      <c r="AI34" s="83">
        <f ca="1">IFERROR(__xludf.DUMMYFUNCTION("""COMPUTED_VALUE"""),2)</f>
        <v>2</v>
      </c>
      <c r="AJ34" s="75" t="str">
        <f ca="1">IFERROR(__xludf.DUMMYFUNCTION("""COMPUTED_VALUE"""),"Station Fail")</f>
        <v>Station Fail</v>
      </c>
      <c r="AK34" s="82">
        <f ca="1">IFERROR(__xludf.DUMMYFUNCTION("""COMPUTED_VALUE"""),2.175)</f>
        <v>2.1749999999999998</v>
      </c>
      <c r="AL34" s="83">
        <f ca="1">IFERROR(__xludf.DUMMYFUNCTION("""COMPUTED_VALUE"""),4)</f>
        <v>4</v>
      </c>
      <c r="AM34" s="75" t="str">
        <f ca="1">IFERROR(__xludf.DUMMYFUNCTION("""COMPUTED_VALUE"""),"Pass")</f>
        <v>Pass</v>
      </c>
      <c r="AN34" s="82">
        <f ca="1">IFERROR(__xludf.DUMMYFUNCTION("""COMPUTED_VALUE"""),1.1076923076923)</f>
        <v>1.1076923076923</v>
      </c>
      <c r="AO34" s="83">
        <f ca="1">IFERROR(__xludf.DUMMYFUNCTION("""COMPUTED_VALUE"""),2)</f>
        <v>2</v>
      </c>
      <c r="AP34" s="75" t="str">
        <f ca="1">IFERROR(__xludf.DUMMYFUNCTION("""COMPUTED_VALUE"""),"Station Fail")</f>
        <v>Station Fail</v>
      </c>
      <c r="AQ34" s="82"/>
      <c r="AR34" s="83"/>
      <c r="AS34" s="75"/>
      <c r="AT34" s="82"/>
      <c r="AU34" s="83"/>
      <c r="AV34" s="75"/>
      <c r="AW34" s="82"/>
      <c r="AX34" s="83"/>
      <c r="AY34" s="75"/>
      <c r="AZ34" s="82"/>
      <c r="BA34" s="83"/>
      <c r="BB34" s="75"/>
      <c r="BC34" s="82"/>
      <c r="BD34" s="83"/>
      <c r="BE34" s="75"/>
      <c r="BF34" s="82"/>
      <c r="BG34" s="83"/>
      <c r="BH34" s="75"/>
      <c r="BI34" s="46"/>
    </row>
    <row r="35" spans="1:61" ht="22.5" customHeight="1" x14ac:dyDescent="0.25">
      <c r="A35" s="46"/>
      <c r="B35" s="75"/>
      <c r="C35" s="75"/>
      <c r="D35" s="75"/>
      <c r="E35" s="75" t="str">
        <f ca="1">IFERROR(__xludf.DUMMYFUNCTION("""COMPUTED_VALUE"""),"G03")</f>
        <v>G03</v>
      </c>
      <c r="F35" s="76"/>
      <c r="G35" s="77">
        <f ca="1">IFERROR(__xludf.DUMMYFUNCTION("""COMPUTED_VALUE"""),0)</f>
        <v>0</v>
      </c>
      <c r="H35" s="78">
        <f ca="1">IFERROR(__xludf.DUMMYFUNCTION("""COMPUTED_VALUE"""),10)</f>
        <v>10</v>
      </c>
      <c r="I35" s="79">
        <f ca="1">IFERROR(__xludf.DUMMYFUNCTION("""COMPUTED_VALUE"""),3)</f>
        <v>3</v>
      </c>
      <c r="J35" s="264"/>
      <c r="K35" s="82">
        <f ca="1">IFERROR(__xludf.DUMMYFUNCTION("""COMPUTED_VALUE"""),17.05)</f>
        <v>17.05</v>
      </c>
      <c r="L35" s="81" t="str">
        <f ca="1">IFERROR(__xludf.DUMMYFUNCTION("""COMPUTED_VALUE"""),"Pass")</f>
        <v>Pass</v>
      </c>
      <c r="M35" s="82">
        <f ca="1">IFERROR(__xludf.DUMMYFUNCTION("""COMPUTED_VALUE"""),1.425)</f>
        <v>1.425</v>
      </c>
      <c r="N35" s="83">
        <f ca="1">IFERROR(__xludf.DUMMYFUNCTION("""COMPUTED_VALUE"""),4)</f>
        <v>4</v>
      </c>
      <c r="O35" s="75" t="str">
        <f ca="1">IFERROR(__xludf.DUMMYFUNCTION("""COMPUTED_VALUE"""),"Station Fail")</f>
        <v>Station Fail</v>
      </c>
      <c r="P35" s="82">
        <f ca="1">IFERROR(__xludf.DUMMYFUNCTION("""COMPUTED_VALUE"""),2.16774193548387)</f>
        <v>2.1677419354838698</v>
      </c>
      <c r="Q35" s="83">
        <f ca="1">IFERROR(__xludf.DUMMYFUNCTION("""COMPUTED_VALUE"""),4)</f>
        <v>4</v>
      </c>
      <c r="R35" s="75" t="str">
        <f ca="1">IFERROR(__xludf.DUMMYFUNCTION("""COMPUTED_VALUE"""),"Pass")</f>
        <v>Pass</v>
      </c>
      <c r="S35" s="82">
        <f ca="1">IFERROR(__xludf.DUMMYFUNCTION("""COMPUTED_VALUE"""),2)</f>
        <v>2</v>
      </c>
      <c r="T35" s="83">
        <f ca="1">IFERROR(__xludf.DUMMYFUNCTION("""COMPUTED_VALUE"""),4)</f>
        <v>4</v>
      </c>
      <c r="U35" s="75" t="str">
        <f ca="1">IFERROR(__xludf.DUMMYFUNCTION("""COMPUTED_VALUE"""),"Pass")</f>
        <v>Pass</v>
      </c>
      <c r="V35" s="82">
        <f ca="1">IFERROR(__xludf.DUMMYFUNCTION("""COMPUTED_VALUE"""),2.16)</f>
        <v>2.16</v>
      </c>
      <c r="W35" s="83">
        <f ca="1">IFERROR(__xludf.DUMMYFUNCTION("""COMPUTED_VALUE"""),5)</f>
        <v>5</v>
      </c>
      <c r="X35" s="75" t="str">
        <f ca="1">IFERROR(__xludf.DUMMYFUNCTION("""COMPUTED_VALUE"""),"Pass")</f>
        <v>Pass</v>
      </c>
      <c r="Y35" s="82">
        <f ca="1">IFERROR(__xludf.DUMMYFUNCTION("""COMPUTED_VALUE"""),1.92)</f>
        <v>1.92</v>
      </c>
      <c r="Z35" s="83">
        <f ca="1">IFERROR(__xludf.DUMMYFUNCTION("""COMPUTED_VALUE"""),4)</f>
        <v>4</v>
      </c>
      <c r="AA35" s="75" t="str">
        <f ca="1">IFERROR(__xludf.DUMMYFUNCTION("""COMPUTED_VALUE"""),"Pass")</f>
        <v>Pass</v>
      </c>
      <c r="AB35" s="82">
        <f ca="1">IFERROR(__xludf.DUMMYFUNCTION("""COMPUTED_VALUE"""),1.2)</f>
        <v>1.2</v>
      </c>
      <c r="AC35" s="83">
        <f ca="1">IFERROR(__xludf.DUMMYFUNCTION("""COMPUTED_VALUE"""),3)</f>
        <v>3</v>
      </c>
      <c r="AD35" s="75" t="str">
        <f ca="1">IFERROR(__xludf.DUMMYFUNCTION("""COMPUTED_VALUE"""),"Station Fail")</f>
        <v>Station Fail</v>
      </c>
      <c r="AE35" s="82">
        <f ca="1">IFERROR(__xludf.DUMMYFUNCTION("""COMPUTED_VALUE"""),2.304)</f>
        <v>2.3039999999999998</v>
      </c>
      <c r="AF35" s="83">
        <f ca="1">IFERROR(__xludf.DUMMYFUNCTION("""COMPUTED_VALUE"""),5)</f>
        <v>5</v>
      </c>
      <c r="AG35" s="75" t="str">
        <f ca="1">IFERROR(__xludf.DUMMYFUNCTION("""COMPUTED_VALUE"""),"Pass")</f>
        <v>Pass</v>
      </c>
      <c r="AH35" s="82">
        <f ca="1">IFERROR(__xludf.DUMMYFUNCTION("""COMPUTED_VALUE"""),1.78285714285714)</f>
        <v>1.78285714285714</v>
      </c>
      <c r="AI35" s="83">
        <f ca="1">IFERROR(__xludf.DUMMYFUNCTION("""COMPUTED_VALUE"""),3)</f>
        <v>3</v>
      </c>
      <c r="AJ35" s="75" t="str">
        <f ca="1">IFERROR(__xludf.DUMMYFUNCTION("""COMPUTED_VALUE"""),"Pass")</f>
        <v>Pass</v>
      </c>
      <c r="AK35" s="82">
        <f ca="1">IFERROR(__xludf.DUMMYFUNCTION("""COMPUTED_VALUE"""),1.72499999999999)</f>
        <v>1.7249999999999901</v>
      </c>
      <c r="AL35" s="83">
        <f ca="1">IFERROR(__xludf.DUMMYFUNCTION("""COMPUTED_VALUE"""),4)</f>
        <v>4</v>
      </c>
      <c r="AM35" s="75" t="str">
        <f ca="1">IFERROR(__xludf.DUMMYFUNCTION("""COMPUTED_VALUE"""),"Pass")</f>
        <v>Pass</v>
      </c>
      <c r="AN35" s="82">
        <f ca="1">IFERROR(__xludf.DUMMYFUNCTION("""COMPUTED_VALUE"""),0.369230769230769)</f>
        <v>0.36923076923076897</v>
      </c>
      <c r="AO35" s="83">
        <f ca="1">IFERROR(__xludf.DUMMYFUNCTION("""COMPUTED_VALUE"""),1)</f>
        <v>1</v>
      </c>
      <c r="AP35" s="75" t="str">
        <f ca="1">IFERROR(__xludf.DUMMYFUNCTION("""COMPUTED_VALUE"""),"Station Fail")</f>
        <v>Station Fail</v>
      </c>
      <c r="AQ35" s="82"/>
      <c r="AR35" s="83"/>
      <c r="AS35" s="75"/>
      <c r="AT35" s="82"/>
      <c r="AU35" s="83"/>
      <c r="AV35" s="75"/>
      <c r="AW35" s="82"/>
      <c r="AX35" s="83"/>
      <c r="AY35" s="75"/>
      <c r="AZ35" s="82"/>
      <c r="BA35" s="83"/>
      <c r="BB35" s="75"/>
      <c r="BC35" s="82"/>
      <c r="BD35" s="83"/>
      <c r="BE35" s="75"/>
      <c r="BF35" s="82"/>
      <c r="BG35" s="83"/>
      <c r="BH35" s="75"/>
      <c r="BI35" s="46"/>
    </row>
    <row r="36" spans="1:61" ht="22.5" customHeight="1" x14ac:dyDescent="0.25">
      <c r="A36" s="46"/>
      <c r="B36" s="75"/>
      <c r="C36" s="75"/>
      <c r="D36" s="75"/>
      <c r="E36" s="75" t="str">
        <f ca="1">IFERROR(__xludf.DUMMYFUNCTION("""COMPUTED_VALUE"""),"G03")</f>
        <v>G03</v>
      </c>
      <c r="F36" s="76"/>
      <c r="G36" s="77">
        <f ca="1">IFERROR(__xludf.DUMMYFUNCTION("""COMPUTED_VALUE"""),0)</f>
        <v>0</v>
      </c>
      <c r="H36" s="78">
        <f ca="1">IFERROR(__xludf.DUMMYFUNCTION("""COMPUTED_VALUE"""),10)</f>
        <v>10</v>
      </c>
      <c r="I36" s="79">
        <f ca="1">IFERROR(__xludf.DUMMYFUNCTION("""COMPUTED_VALUE"""),4)</f>
        <v>4</v>
      </c>
      <c r="J36" s="264"/>
      <c r="K36" s="82">
        <f ca="1">IFERROR(__xludf.DUMMYFUNCTION("""COMPUTED_VALUE"""),14.2)</f>
        <v>14.2</v>
      </c>
      <c r="L36" s="81" t="str">
        <f ca="1">IFERROR(__xludf.DUMMYFUNCTION("""COMPUTED_VALUE"""),"Fail")</f>
        <v>Fail</v>
      </c>
      <c r="M36" s="82">
        <f ca="1">IFERROR(__xludf.DUMMYFUNCTION("""COMPUTED_VALUE"""),1.72499999999999)</f>
        <v>1.7249999999999901</v>
      </c>
      <c r="N36" s="83">
        <f ca="1">IFERROR(__xludf.DUMMYFUNCTION("""COMPUTED_VALUE"""),3)</f>
        <v>3</v>
      </c>
      <c r="O36" s="75" t="str">
        <f ca="1">IFERROR(__xludf.DUMMYFUNCTION("""COMPUTED_VALUE"""),"Pass")</f>
        <v>Pass</v>
      </c>
      <c r="P36" s="82">
        <f ca="1">IFERROR(__xludf.DUMMYFUNCTION("""COMPUTED_VALUE"""),1.70322580645161)</f>
        <v>1.7032258064516099</v>
      </c>
      <c r="Q36" s="83">
        <f ca="1">IFERROR(__xludf.DUMMYFUNCTION("""COMPUTED_VALUE"""),3)</f>
        <v>3</v>
      </c>
      <c r="R36" s="75" t="str">
        <f ca="1">IFERROR(__xludf.DUMMYFUNCTION("""COMPUTED_VALUE"""),"Pass")</f>
        <v>Pass</v>
      </c>
      <c r="S36" s="82">
        <f ca="1">IFERROR(__xludf.DUMMYFUNCTION("""COMPUTED_VALUE"""),2.19999999999999)</f>
        <v>2.19999999999999</v>
      </c>
      <c r="T36" s="83">
        <f ca="1">IFERROR(__xludf.DUMMYFUNCTION("""COMPUTED_VALUE"""),4)</f>
        <v>4</v>
      </c>
      <c r="U36" s="75" t="str">
        <f ca="1">IFERROR(__xludf.DUMMYFUNCTION("""COMPUTED_VALUE"""),"Pass")</f>
        <v>Pass</v>
      </c>
      <c r="V36" s="82">
        <f ca="1">IFERROR(__xludf.DUMMYFUNCTION("""COMPUTED_VALUE"""),1.68)</f>
        <v>1.68</v>
      </c>
      <c r="W36" s="83">
        <f ca="1">IFERROR(__xludf.DUMMYFUNCTION("""COMPUTED_VALUE"""),3)</f>
        <v>3</v>
      </c>
      <c r="X36" s="75" t="str">
        <f ca="1">IFERROR(__xludf.DUMMYFUNCTION("""COMPUTED_VALUE"""),"Pass")</f>
        <v>Pass</v>
      </c>
      <c r="Y36" s="82">
        <f ca="1">IFERROR(__xludf.DUMMYFUNCTION("""COMPUTED_VALUE"""),1.44)</f>
        <v>1.44</v>
      </c>
      <c r="Z36" s="83">
        <f ca="1">IFERROR(__xludf.DUMMYFUNCTION("""COMPUTED_VALUE"""),3)</f>
        <v>3</v>
      </c>
      <c r="AA36" s="75" t="str">
        <f ca="1">IFERROR(__xludf.DUMMYFUNCTION("""COMPUTED_VALUE"""),"Pass")</f>
        <v>Pass</v>
      </c>
      <c r="AB36" s="82">
        <f ca="1">IFERROR(__xludf.DUMMYFUNCTION("""COMPUTED_VALUE"""),0.799999999999999)</f>
        <v>0.79999999999999905</v>
      </c>
      <c r="AC36" s="83">
        <f ca="1">IFERROR(__xludf.DUMMYFUNCTION("""COMPUTED_VALUE"""),2)</f>
        <v>2</v>
      </c>
      <c r="AD36" s="75" t="str">
        <f ca="1">IFERROR(__xludf.DUMMYFUNCTION("""COMPUTED_VALUE"""),"Station Fail")</f>
        <v>Station Fail</v>
      </c>
      <c r="AE36" s="82">
        <f ca="1">IFERROR(__xludf.DUMMYFUNCTION("""COMPUTED_VALUE"""),1.056)</f>
        <v>1.056</v>
      </c>
      <c r="AF36" s="83">
        <f ca="1">IFERROR(__xludf.DUMMYFUNCTION("""COMPUTED_VALUE"""),1)</f>
        <v>1</v>
      </c>
      <c r="AG36" s="75" t="str">
        <f ca="1">IFERROR(__xludf.DUMMYFUNCTION("""COMPUTED_VALUE"""),"Station Fail")</f>
        <v>Station Fail</v>
      </c>
      <c r="AH36" s="82">
        <f ca="1">IFERROR(__xludf.DUMMYFUNCTION("""COMPUTED_VALUE"""),1.23428571428571)</f>
        <v>1.23428571428571</v>
      </c>
      <c r="AI36" s="83">
        <f ca="1">IFERROR(__xludf.DUMMYFUNCTION("""COMPUTED_VALUE"""),3)</f>
        <v>3</v>
      </c>
      <c r="AJ36" s="75" t="str">
        <f ca="1">IFERROR(__xludf.DUMMYFUNCTION("""COMPUTED_VALUE"""),"Station Fail")</f>
        <v>Station Fail</v>
      </c>
      <c r="AK36" s="82">
        <f ca="1">IFERROR(__xludf.DUMMYFUNCTION("""COMPUTED_VALUE"""),2.175)</f>
        <v>2.1749999999999998</v>
      </c>
      <c r="AL36" s="83">
        <f ca="1">IFERROR(__xludf.DUMMYFUNCTION("""COMPUTED_VALUE"""),4)</f>
        <v>4</v>
      </c>
      <c r="AM36" s="75" t="str">
        <f ca="1">IFERROR(__xludf.DUMMYFUNCTION("""COMPUTED_VALUE"""),"Pass")</f>
        <v>Pass</v>
      </c>
      <c r="AN36" s="82">
        <f ca="1">IFERROR(__xludf.DUMMYFUNCTION("""COMPUTED_VALUE"""),0.184615384615384)</f>
        <v>0.18461538461538399</v>
      </c>
      <c r="AO36" s="83">
        <f ca="1">IFERROR(__xludf.DUMMYFUNCTION("""COMPUTED_VALUE"""),1)</f>
        <v>1</v>
      </c>
      <c r="AP36" s="75" t="str">
        <f ca="1">IFERROR(__xludf.DUMMYFUNCTION("""COMPUTED_VALUE"""),"Station Fail")</f>
        <v>Station Fail</v>
      </c>
      <c r="AQ36" s="82"/>
      <c r="AR36" s="83"/>
      <c r="AS36" s="75"/>
      <c r="AT36" s="82"/>
      <c r="AU36" s="83"/>
      <c r="AV36" s="75"/>
      <c r="AW36" s="82"/>
      <c r="AX36" s="83"/>
      <c r="AY36" s="75"/>
      <c r="AZ36" s="82"/>
      <c r="BA36" s="83"/>
      <c r="BB36" s="75"/>
      <c r="BC36" s="82"/>
      <c r="BD36" s="83"/>
      <c r="BE36" s="75"/>
      <c r="BF36" s="82"/>
      <c r="BG36" s="83"/>
      <c r="BH36" s="75"/>
      <c r="BI36" s="46"/>
    </row>
    <row r="37" spans="1:61" ht="22.5" customHeight="1" x14ac:dyDescent="0.25">
      <c r="A37" s="46"/>
      <c r="B37" s="75"/>
      <c r="C37" s="84"/>
      <c r="D37" s="75"/>
      <c r="E37" s="75" t="str">
        <f ca="1">IFERROR(__xludf.DUMMYFUNCTION("""COMPUTED_VALUE"""),"G03")</f>
        <v>G03</v>
      </c>
      <c r="F37" s="76"/>
      <c r="G37" s="77">
        <f ca="1">IFERROR(__xludf.DUMMYFUNCTION("""COMPUTED_VALUE"""),0)</f>
        <v>0</v>
      </c>
      <c r="H37" s="78">
        <f ca="1">IFERROR(__xludf.DUMMYFUNCTION("""COMPUTED_VALUE"""),10)</f>
        <v>10</v>
      </c>
      <c r="I37" s="79">
        <f ca="1">IFERROR(__xludf.DUMMYFUNCTION("""COMPUTED_VALUE"""),1)</f>
        <v>1</v>
      </c>
      <c r="J37" s="264"/>
      <c r="K37" s="82">
        <f ca="1">IFERROR(__xludf.DUMMYFUNCTION("""COMPUTED_VALUE"""),19.82)</f>
        <v>19.82</v>
      </c>
      <c r="L37" s="81" t="str">
        <f ca="1">IFERROR(__xludf.DUMMYFUNCTION("""COMPUTED_VALUE"""),"Pass")</f>
        <v>Pass</v>
      </c>
      <c r="M37" s="82">
        <f ca="1">IFERROR(__xludf.DUMMYFUNCTION("""COMPUTED_VALUE"""),2.25)</f>
        <v>2.25</v>
      </c>
      <c r="N37" s="83">
        <f ca="1">IFERROR(__xludf.DUMMYFUNCTION("""COMPUTED_VALUE"""),4)</f>
        <v>4</v>
      </c>
      <c r="O37" s="75" t="str">
        <f ca="1">IFERROR(__xludf.DUMMYFUNCTION("""COMPUTED_VALUE"""),"Pass")</f>
        <v>Pass</v>
      </c>
      <c r="P37" s="82">
        <f ca="1">IFERROR(__xludf.DUMMYFUNCTION("""COMPUTED_VALUE"""),2.4)</f>
        <v>2.4</v>
      </c>
      <c r="Q37" s="83">
        <f ca="1">IFERROR(__xludf.DUMMYFUNCTION("""COMPUTED_VALUE"""),5)</f>
        <v>5</v>
      </c>
      <c r="R37" s="75" t="str">
        <f ca="1">IFERROR(__xludf.DUMMYFUNCTION("""COMPUTED_VALUE"""),"Pass")</f>
        <v>Pass</v>
      </c>
      <c r="S37" s="82">
        <f ca="1">IFERROR(__xludf.DUMMYFUNCTION("""COMPUTED_VALUE"""),2.1)</f>
        <v>2.1</v>
      </c>
      <c r="T37" s="83">
        <f ca="1">IFERROR(__xludf.DUMMYFUNCTION("""COMPUTED_VALUE"""),4)</f>
        <v>4</v>
      </c>
      <c r="U37" s="75" t="str">
        <f ca="1">IFERROR(__xludf.DUMMYFUNCTION("""COMPUTED_VALUE"""),"Pass")</f>
        <v>Pass</v>
      </c>
      <c r="V37" s="82">
        <f ca="1">IFERROR(__xludf.DUMMYFUNCTION("""COMPUTED_VALUE"""),1.79999999999999)</f>
        <v>1.7999999999999901</v>
      </c>
      <c r="W37" s="83">
        <f ca="1">IFERROR(__xludf.DUMMYFUNCTION("""COMPUTED_VALUE"""),5)</f>
        <v>5</v>
      </c>
      <c r="X37" s="75" t="str">
        <f ca="1">IFERROR(__xludf.DUMMYFUNCTION("""COMPUTED_VALUE"""),"Pass")</f>
        <v>Pass</v>
      </c>
      <c r="Y37" s="82">
        <f ca="1">IFERROR(__xludf.DUMMYFUNCTION("""COMPUTED_VALUE"""),2.16)</f>
        <v>2.16</v>
      </c>
      <c r="Z37" s="83">
        <f ca="1">IFERROR(__xludf.DUMMYFUNCTION("""COMPUTED_VALUE"""),5)</f>
        <v>5</v>
      </c>
      <c r="AA37" s="75" t="str">
        <f ca="1">IFERROR(__xludf.DUMMYFUNCTION("""COMPUTED_VALUE"""),"Pass")</f>
        <v>Pass</v>
      </c>
      <c r="AB37" s="82">
        <f ca="1">IFERROR(__xludf.DUMMYFUNCTION("""COMPUTED_VALUE"""),2.19999999999999)</f>
        <v>2.19999999999999</v>
      </c>
      <c r="AC37" s="83">
        <f ca="1">IFERROR(__xludf.DUMMYFUNCTION("""COMPUTED_VALUE"""),5)</f>
        <v>5</v>
      </c>
      <c r="AD37" s="75" t="str">
        <f ca="1">IFERROR(__xludf.DUMMYFUNCTION("""COMPUTED_VALUE"""),"Pass")</f>
        <v>Pass</v>
      </c>
      <c r="AE37" s="82">
        <f ca="1">IFERROR(__xludf.DUMMYFUNCTION("""COMPUTED_VALUE"""),1.92)</f>
        <v>1.92</v>
      </c>
      <c r="AF37" s="83">
        <f ca="1">IFERROR(__xludf.DUMMYFUNCTION("""COMPUTED_VALUE"""),5)</f>
        <v>5</v>
      </c>
      <c r="AG37" s="75" t="str">
        <f ca="1">IFERROR(__xludf.DUMMYFUNCTION("""COMPUTED_VALUE"""),"Pass")</f>
        <v>Pass</v>
      </c>
      <c r="AH37" s="82">
        <f ca="1">IFERROR(__xludf.DUMMYFUNCTION("""COMPUTED_VALUE"""),1.78285714285714)</f>
        <v>1.78285714285714</v>
      </c>
      <c r="AI37" s="83">
        <f ca="1">IFERROR(__xludf.DUMMYFUNCTION("""COMPUTED_VALUE"""),4)</f>
        <v>4</v>
      </c>
      <c r="AJ37" s="75" t="str">
        <f ca="1">IFERROR(__xludf.DUMMYFUNCTION("""COMPUTED_VALUE"""),"Pass")</f>
        <v>Pass</v>
      </c>
      <c r="AK37" s="82">
        <f ca="1">IFERROR(__xludf.DUMMYFUNCTION("""COMPUTED_VALUE"""),2.1)</f>
        <v>2.1</v>
      </c>
      <c r="AL37" s="83">
        <f ca="1">IFERROR(__xludf.DUMMYFUNCTION("""COMPUTED_VALUE"""),5)</f>
        <v>5</v>
      </c>
      <c r="AM37" s="75" t="str">
        <f ca="1">IFERROR(__xludf.DUMMYFUNCTION("""COMPUTED_VALUE"""),"Pass")</f>
        <v>Pass</v>
      </c>
      <c r="AN37" s="82">
        <f ca="1">IFERROR(__xludf.DUMMYFUNCTION("""COMPUTED_VALUE"""),1.1076923076923)</f>
        <v>1.1076923076923</v>
      </c>
      <c r="AO37" s="83">
        <f ca="1">IFERROR(__xludf.DUMMYFUNCTION("""COMPUTED_VALUE"""),2)</f>
        <v>2</v>
      </c>
      <c r="AP37" s="75" t="str">
        <f ca="1">IFERROR(__xludf.DUMMYFUNCTION("""COMPUTED_VALUE"""),"Station Fail")</f>
        <v>Station Fail</v>
      </c>
      <c r="AQ37" s="82"/>
      <c r="AR37" s="83"/>
      <c r="AS37" s="75"/>
      <c r="AT37" s="82"/>
      <c r="AU37" s="83"/>
      <c r="AV37" s="75"/>
      <c r="AW37" s="82"/>
      <c r="AX37" s="83"/>
      <c r="AY37" s="75"/>
      <c r="AZ37" s="82"/>
      <c r="BA37" s="83"/>
      <c r="BB37" s="75"/>
      <c r="BC37" s="82"/>
      <c r="BD37" s="83"/>
      <c r="BE37" s="75"/>
      <c r="BF37" s="82"/>
      <c r="BG37" s="83"/>
      <c r="BH37" s="75"/>
      <c r="BI37" s="46"/>
    </row>
    <row r="38" spans="1:61" ht="22.5" customHeight="1" x14ac:dyDescent="0.25">
      <c r="A38" s="46"/>
      <c r="B38" s="75"/>
      <c r="C38" s="75"/>
      <c r="D38" s="75"/>
      <c r="E38" s="75" t="str">
        <f ca="1">IFERROR(__xludf.DUMMYFUNCTION("""COMPUTED_VALUE"""),"G03")</f>
        <v>G03</v>
      </c>
      <c r="F38" s="76"/>
      <c r="G38" s="77">
        <f ca="1">IFERROR(__xludf.DUMMYFUNCTION("""COMPUTED_VALUE"""),0)</f>
        <v>0</v>
      </c>
      <c r="H38" s="78">
        <f ca="1">IFERROR(__xludf.DUMMYFUNCTION("""COMPUTED_VALUE"""),10)</f>
        <v>10</v>
      </c>
      <c r="I38" s="79">
        <f ca="1">IFERROR(__xludf.DUMMYFUNCTION("""COMPUTED_VALUE"""),1)</f>
        <v>1</v>
      </c>
      <c r="J38" s="264"/>
      <c r="K38" s="82">
        <f ca="1">IFERROR(__xludf.DUMMYFUNCTION("""COMPUTED_VALUE"""),19.67)</f>
        <v>19.670000000000002</v>
      </c>
      <c r="L38" s="81" t="str">
        <f ca="1">IFERROR(__xludf.DUMMYFUNCTION("""COMPUTED_VALUE"""),"Pass")</f>
        <v>Pass</v>
      </c>
      <c r="M38" s="82">
        <f ca="1">IFERROR(__xludf.DUMMYFUNCTION("""COMPUTED_VALUE"""),1.575)</f>
        <v>1.575</v>
      </c>
      <c r="N38" s="83">
        <f ca="1">IFERROR(__xludf.DUMMYFUNCTION("""COMPUTED_VALUE"""),3)</f>
        <v>3</v>
      </c>
      <c r="O38" s="75" t="str">
        <f ca="1">IFERROR(__xludf.DUMMYFUNCTION("""COMPUTED_VALUE"""),"Pass")</f>
        <v>Pass</v>
      </c>
      <c r="P38" s="82">
        <f ca="1">IFERROR(__xludf.DUMMYFUNCTION("""COMPUTED_VALUE"""),2.16774193548387)</f>
        <v>2.1677419354838698</v>
      </c>
      <c r="Q38" s="83">
        <f ca="1">IFERROR(__xludf.DUMMYFUNCTION("""COMPUTED_VALUE"""),4)</f>
        <v>4</v>
      </c>
      <c r="R38" s="75" t="str">
        <f ca="1">IFERROR(__xludf.DUMMYFUNCTION("""COMPUTED_VALUE"""),"Pass")</f>
        <v>Pass</v>
      </c>
      <c r="S38" s="82">
        <f ca="1">IFERROR(__xludf.DUMMYFUNCTION("""COMPUTED_VALUE"""),2.19999999999999)</f>
        <v>2.19999999999999</v>
      </c>
      <c r="T38" s="83">
        <f ca="1">IFERROR(__xludf.DUMMYFUNCTION("""COMPUTED_VALUE"""),5)</f>
        <v>5</v>
      </c>
      <c r="U38" s="75" t="str">
        <f ca="1">IFERROR(__xludf.DUMMYFUNCTION("""COMPUTED_VALUE"""),"Pass")</f>
        <v>Pass</v>
      </c>
      <c r="V38" s="82">
        <f ca="1">IFERROR(__xludf.DUMMYFUNCTION("""COMPUTED_VALUE"""),2.4)</f>
        <v>2.4</v>
      </c>
      <c r="W38" s="83">
        <f ca="1">IFERROR(__xludf.DUMMYFUNCTION("""COMPUTED_VALUE"""),4)</f>
        <v>4</v>
      </c>
      <c r="X38" s="75" t="str">
        <f ca="1">IFERROR(__xludf.DUMMYFUNCTION("""COMPUTED_VALUE"""),"Pass")</f>
        <v>Pass</v>
      </c>
      <c r="Y38" s="82">
        <f ca="1">IFERROR(__xludf.DUMMYFUNCTION("""COMPUTED_VALUE"""),2.04)</f>
        <v>2.04</v>
      </c>
      <c r="Z38" s="83">
        <f ca="1">IFERROR(__xludf.DUMMYFUNCTION("""COMPUTED_VALUE"""),5)</f>
        <v>5</v>
      </c>
      <c r="AA38" s="75" t="str">
        <f ca="1">IFERROR(__xludf.DUMMYFUNCTION("""COMPUTED_VALUE"""),"Pass")</f>
        <v>Pass</v>
      </c>
      <c r="AB38" s="82">
        <f ca="1">IFERROR(__xludf.DUMMYFUNCTION("""COMPUTED_VALUE"""),2.4)</f>
        <v>2.4</v>
      </c>
      <c r="AC38" s="83">
        <f ca="1">IFERROR(__xludf.DUMMYFUNCTION("""COMPUTED_VALUE"""),5)</f>
        <v>5</v>
      </c>
      <c r="AD38" s="75" t="str">
        <f ca="1">IFERROR(__xludf.DUMMYFUNCTION("""COMPUTED_VALUE"""),"Pass")</f>
        <v>Pass</v>
      </c>
      <c r="AE38" s="82">
        <f ca="1">IFERROR(__xludf.DUMMYFUNCTION("""COMPUTED_VALUE"""),2.208)</f>
        <v>2.2080000000000002</v>
      </c>
      <c r="AF38" s="83">
        <f ca="1">IFERROR(__xludf.DUMMYFUNCTION("""COMPUTED_VALUE"""),5)</f>
        <v>5</v>
      </c>
      <c r="AG38" s="75" t="str">
        <f ca="1">IFERROR(__xludf.DUMMYFUNCTION("""COMPUTED_VALUE"""),"Pass")</f>
        <v>Pass</v>
      </c>
      <c r="AH38" s="82">
        <f ca="1">IFERROR(__xludf.DUMMYFUNCTION("""COMPUTED_VALUE"""),1.50857142857142)</f>
        <v>1.50857142857142</v>
      </c>
      <c r="AI38" s="83">
        <f ca="1">IFERROR(__xludf.DUMMYFUNCTION("""COMPUTED_VALUE"""),3)</f>
        <v>3</v>
      </c>
      <c r="AJ38" s="75" t="str">
        <f ca="1">IFERROR(__xludf.DUMMYFUNCTION("""COMPUTED_VALUE"""),"Pass")</f>
        <v>Pass</v>
      </c>
      <c r="AK38" s="82">
        <f ca="1">IFERROR(__xludf.DUMMYFUNCTION("""COMPUTED_VALUE"""),2.25)</f>
        <v>2.25</v>
      </c>
      <c r="AL38" s="83">
        <f ca="1">IFERROR(__xludf.DUMMYFUNCTION("""COMPUTED_VALUE"""),4)</f>
        <v>4</v>
      </c>
      <c r="AM38" s="75" t="str">
        <f ca="1">IFERROR(__xludf.DUMMYFUNCTION("""COMPUTED_VALUE"""),"Pass")</f>
        <v>Pass</v>
      </c>
      <c r="AN38" s="82">
        <f ca="1">IFERROR(__xludf.DUMMYFUNCTION("""COMPUTED_VALUE"""),0.923076923076923)</f>
        <v>0.92307692307692302</v>
      </c>
      <c r="AO38" s="83">
        <f ca="1">IFERROR(__xludf.DUMMYFUNCTION("""COMPUTED_VALUE"""),2)</f>
        <v>2</v>
      </c>
      <c r="AP38" s="75" t="str">
        <f ca="1">IFERROR(__xludf.DUMMYFUNCTION("""COMPUTED_VALUE"""),"Station Fail")</f>
        <v>Station Fail</v>
      </c>
      <c r="AQ38" s="82"/>
      <c r="AR38" s="83"/>
      <c r="AS38" s="75"/>
      <c r="AT38" s="82"/>
      <c r="AU38" s="83"/>
      <c r="AV38" s="75"/>
      <c r="AW38" s="82"/>
      <c r="AX38" s="83"/>
      <c r="AY38" s="75"/>
      <c r="AZ38" s="82"/>
      <c r="BA38" s="83"/>
      <c r="BB38" s="75"/>
      <c r="BC38" s="82"/>
      <c r="BD38" s="83"/>
      <c r="BE38" s="75"/>
      <c r="BF38" s="82"/>
      <c r="BG38" s="83"/>
      <c r="BH38" s="75"/>
      <c r="BI38" s="46"/>
    </row>
    <row r="39" spans="1:61" ht="22.5" customHeight="1" x14ac:dyDescent="0.25">
      <c r="A39" s="46"/>
      <c r="B39" s="75"/>
      <c r="C39" s="75"/>
      <c r="D39" s="75"/>
      <c r="E39" s="75" t="str">
        <f ca="1">IFERROR(__xludf.DUMMYFUNCTION("""COMPUTED_VALUE"""),"G04")</f>
        <v>G04</v>
      </c>
      <c r="F39" s="76"/>
      <c r="G39" s="77">
        <f ca="1">IFERROR(__xludf.DUMMYFUNCTION("""COMPUTED_VALUE"""),0)</f>
        <v>0</v>
      </c>
      <c r="H39" s="78">
        <f ca="1">IFERROR(__xludf.DUMMYFUNCTION("""COMPUTED_VALUE"""),10)</f>
        <v>10</v>
      </c>
      <c r="I39" s="79">
        <f ca="1">IFERROR(__xludf.DUMMYFUNCTION("""COMPUTED_VALUE"""),2)</f>
        <v>2</v>
      </c>
      <c r="J39" s="264"/>
      <c r="K39" s="82">
        <f ca="1">IFERROR(__xludf.DUMMYFUNCTION("""COMPUTED_VALUE"""),16.23)</f>
        <v>16.23</v>
      </c>
      <c r="L39" s="81" t="str">
        <f ca="1">IFERROR(__xludf.DUMMYFUNCTION("""COMPUTED_VALUE"""),"Pass")</f>
        <v>Pass</v>
      </c>
      <c r="M39" s="82">
        <f ca="1">IFERROR(__xludf.DUMMYFUNCTION("""COMPUTED_VALUE"""),1.5)</f>
        <v>1.5</v>
      </c>
      <c r="N39" s="83">
        <f ca="1">IFERROR(__xludf.DUMMYFUNCTION("""COMPUTED_VALUE"""),3)</f>
        <v>3</v>
      </c>
      <c r="O39" s="75" t="str">
        <f ca="1">IFERROR(__xludf.DUMMYFUNCTION("""COMPUTED_VALUE"""),"Pass")</f>
        <v>Pass</v>
      </c>
      <c r="P39" s="82">
        <f ca="1">IFERROR(__xludf.DUMMYFUNCTION("""COMPUTED_VALUE"""),1.78064516129032)</f>
        <v>1.78064516129032</v>
      </c>
      <c r="Q39" s="83">
        <f ca="1">IFERROR(__xludf.DUMMYFUNCTION("""COMPUTED_VALUE"""),3)</f>
        <v>3</v>
      </c>
      <c r="R39" s="75" t="str">
        <f ca="1">IFERROR(__xludf.DUMMYFUNCTION("""COMPUTED_VALUE"""),"Pass")</f>
        <v>Pass</v>
      </c>
      <c r="S39" s="82">
        <f ca="1">IFERROR(__xludf.DUMMYFUNCTION("""COMPUTED_VALUE"""),2)</f>
        <v>2</v>
      </c>
      <c r="T39" s="83">
        <f ca="1">IFERROR(__xludf.DUMMYFUNCTION("""COMPUTED_VALUE"""),4)</f>
        <v>4</v>
      </c>
      <c r="U39" s="75" t="str">
        <f ca="1">IFERROR(__xludf.DUMMYFUNCTION("""COMPUTED_VALUE"""),"Pass")</f>
        <v>Pass</v>
      </c>
      <c r="V39" s="82">
        <f ca="1">IFERROR(__xludf.DUMMYFUNCTION("""COMPUTED_VALUE"""),2.16)</f>
        <v>2.16</v>
      </c>
      <c r="W39" s="83">
        <f ca="1">IFERROR(__xludf.DUMMYFUNCTION("""COMPUTED_VALUE"""),4)</f>
        <v>4</v>
      </c>
      <c r="X39" s="75" t="str">
        <f ca="1">IFERROR(__xludf.DUMMYFUNCTION("""COMPUTED_VALUE"""),"Pass")</f>
        <v>Pass</v>
      </c>
      <c r="Y39" s="82">
        <f ca="1">IFERROR(__xludf.DUMMYFUNCTION("""COMPUTED_VALUE"""),1.79999999999999)</f>
        <v>1.7999999999999901</v>
      </c>
      <c r="Z39" s="83">
        <f ca="1">IFERROR(__xludf.DUMMYFUNCTION("""COMPUTED_VALUE"""),4)</f>
        <v>4</v>
      </c>
      <c r="AA39" s="75" t="str">
        <f ca="1">IFERROR(__xludf.DUMMYFUNCTION("""COMPUTED_VALUE"""),"Pass")</f>
        <v>Pass</v>
      </c>
      <c r="AB39" s="82">
        <f ca="1">IFERROR(__xludf.DUMMYFUNCTION("""COMPUTED_VALUE"""),1.5)</f>
        <v>1.5</v>
      </c>
      <c r="AC39" s="83">
        <f ca="1">IFERROR(__xludf.DUMMYFUNCTION("""COMPUTED_VALUE"""),3)</f>
        <v>3</v>
      </c>
      <c r="AD39" s="75" t="str">
        <f ca="1">IFERROR(__xludf.DUMMYFUNCTION("""COMPUTED_VALUE"""),"Pass")</f>
        <v>Pass</v>
      </c>
      <c r="AE39" s="82">
        <f ca="1">IFERROR(__xludf.DUMMYFUNCTION("""COMPUTED_VALUE"""),1.632)</f>
        <v>1.6319999999999999</v>
      </c>
      <c r="AF39" s="83">
        <f ca="1">IFERROR(__xludf.DUMMYFUNCTION("""COMPUTED_VALUE"""),3)</f>
        <v>3</v>
      </c>
      <c r="AG39" s="75" t="str">
        <f ca="1">IFERROR(__xludf.DUMMYFUNCTION("""COMPUTED_VALUE"""),"Pass")</f>
        <v>Pass</v>
      </c>
      <c r="AH39" s="82">
        <f ca="1">IFERROR(__xludf.DUMMYFUNCTION("""COMPUTED_VALUE"""),1.16571428571428)</f>
        <v>1.1657142857142799</v>
      </c>
      <c r="AI39" s="83">
        <f ca="1">IFERROR(__xludf.DUMMYFUNCTION("""COMPUTED_VALUE"""),3)</f>
        <v>3</v>
      </c>
      <c r="AJ39" s="75" t="str">
        <f ca="1">IFERROR(__xludf.DUMMYFUNCTION("""COMPUTED_VALUE"""),"Station Fail")</f>
        <v>Station Fail</v>
      </c>
      <c r="AK39" s="82">
        <f ca="1">IFERROR(__xludf.DUMMYFUNCTION("""COMPUTED_VALUE"""),1.95)</f>
        <v>1.95</v>
      </c>
      <c r="AL39" s="83">
        <f ca="1">IFERROR(__xludf.DUMMYFUNCTION("""COMPUTED_VALUE"""),3)</f>
        <v>3</v>
      </c>
      <c r="AM39" s="75" t="str">
        <f ca="1">IFERROR(__xludf.DUMMYFUNCTION("""COMPUTED_VALUE"""),"Pass")</f>
        <v>Pass</v>
      </c>
      <c r="AN39" s="82">
        <f ca="1">IFERROR(__xludf.DUMMYFUNCTION("""COMPUTED_VALUE"""),0.738461538461538)</f>
        <v>0.73846153846153795</v>
      </c>
      <c r="AO39" s="83">
        <f ca="1">IFERROR(__xludf.DUMMYFUNCTION("""COMPUTED_VALUE"""),1)</f>
        <v>1</v>
      </c>
      <c r="AP39" s="75" t="str">
        <f ca="1">IFERROR(__xludf.DUMMYFUNCTION("""COMPUTED_VALUE"""),"Station Fail")</f>
        <v>Station Fail</v>
      </c>
      <c r="AQ39" s="82"/>
      <c r="AR39" s="83"/>
      <c r="AS39" s="75"/>
      <c r="AT39" s="82"/>
      <c r="AU39" s="83"/>
      <c r="AV39" s="75"/>
      <c r="AW39" s="82"/>
      <c r="AX39" s="83"/>
      <c r="AY39" s="75"/>
      <c r="AZ39" s="82"/>
      <c r="BA39" s="83"/>
      <c r="BB39" s="75"/>
      <c r="BC39" s="82"/>
      <c r="BD39" s="83"/>
      <c r="BE39" s="75"/>
      <c r="BF39" s="82"/>
      <c r="BG39" s="83"/>
      <c r="BH39" s="75"/>
      <c r="BI39" s="46"/>
    </row>
    <row r="40" spans="1:61" ht="22.5" customHeight="1" x14ac:dyDescent="0.25">
      <c r="A40" s="46"/>
      <c r="B40" s="75"/>
      <c r="C40" s="84"/>
      <c r="D40" s="75"/>
      <c r="E40" s="75" t="str">
        <f ca="1">IFERROR(__xludf.DUMMYFUNCTION("""COMPUTED_VALUE"""),"G04")</f>
        <v>G04</v>
      </c>
      <c r="F40" s="76"/>
      <c r="G40" s="77">
        <f ca="1">IFERROR(__xludf.DUMMYFUNCTION("""COMPUTED_VALUE"""),0)</f>
        <v>0</v>
      </c>
      <c r="H40" s="78">
        <f ca="1">IFERROR(__xludf.DUMMYFUNCTION("""COMPUTED_VALUE"""),10)</f>
        <v>10</v>
      </c>
      <c r="I40" s="79">
        <f ca="1">IFERROR(__xludf.DUMMYFUNCTION("""COMPUTED_VALUE"""),2)</f>
        <v>2</v>
      </c>
      <c r="J40" s="264"/>
      <c r="K40" s="82">
        <f ca="1">IFERROR(__xludf.DUMMYFUNCTION("""COMPUTED_VALUE"""),16.84)</f>
        <v>16.84</v>
      </c>
      <c r="L40" s="81" t="str">
        <f ca="1">IFERROR(__xludf.DUMMYFUNCTION("""COMPUTED_VALUE"""),"Pass")</f>
        <v>Pass</v>
      </c>
      <c r="M40" s="82">
        <f ca="1">IFERROR(__xludf.DUMMYFUNCTION("""COMPUTED_VALUE"""),1.95)</f>
        <v>1.95</v>
      </c>
      <c r="N40" s="83">
        <f ca="1">IFERROR(__xludf.DUMMYFUNCTION("""COMPUTED_VALUE"""),4)</f>
        <v>4</v>
      </c>
      <c r="O40" s="75" t="str">
        <f ca="1">IFERROR(__xludf.DUMMYFUNCTION("""COMPUTED_VALUE"""),"Pass")</f>
        <v>Pass</v>
      </c>
      <c r="P40" s="82">
        <f ca="1">IFERROR(__xludf.DUMMYFUNCTION("""COMPUTED_VALUE"""),2.09032258064516)</f>
        <v>2.09032258064516</v>
      </c>
      <c r="Q40" s="83">
        <f ca="1">IFERROR(__xludf.DUMMYFUNCTION("""COMPUTED_VALUE"""),5)</f>
        <v>5</v>
      </c>
      <c r="R40" s="75" t="str">
        <f ca="1">IFERROR(__xludf.DUMMYFUNCTION("""COMPUTED_VALUE"""),"Pass")</f>
        <v>Pass</v>
      </c>
      <c r="S40" s="82">
        <f ca="1">IFERROR(__xludf.DUMMYFUNCTION("""COMPUTED_VALUE"""),2.1)</f>
        <v>2.1</v>
      </c>
      <c r="T40" s="83">
        <f ca="1">IFERROR(__xludf.DUMMYFUNCTION("""COMPUTED_VALUE"""),4)</f>
        <v>4</v>
      </c>
      <c r="U40" s="75" t="str">
        <f ca="1">IFERROR(__xludf.DUMMYFUNCTION("""COMPUTED_VALUE"""),"Pass")</f>
        <v>Pass</v>
      </c>
      <c r="V40" s="82">
        <f ca="1">IFERROR(__xludf.DUMMYFUNCTION("""COMPUTED_VALUE"""),2.28)</f>
        <v>2.2799999999999998</v>
      </c>
      <c r="W40" s="83">
        <f ca="1">IFERROR(__xludf.DUMMYFUNCTION("""COMPUTED_VALUE"""),4)</f>
        <v>4</v>
      </c>
      <c r="X40" s="75" t="str">
        <f ca="1">IFERROR(__xludf.DUMMYFUNCTION("""COMPUTED_VALUE"""),"Pass")</f>
        <v>Pass</v>
      </c>
      <c r="Y40" s="82">
        <f ca="1">IFERROR(__xludf.DUMMYFUNCTION("""COMPUTED_VALUE"""),1.92)</f>
        <v>1.92</v>
      </c>
      <c r="Z40" s="83">
        <f ca="1">IFERROR(__xludf.DUMMYFUNCTION("""COMPUTED_VALUE"""),4)</f>
        <v>4</v>
      </c>
      <c r="AA40" s="75" t="str">
        <f ca="1">IFERROR(__xludf.DUMMYFUNCTION("""COMPUTED_VALUE"""),"Pass")</f>
        <v>Pass</v>
      </c>
      <c r="AB40" s="82">
        <f ca="1">IFERROR(__xludf.DUMMYFUNCTION("""COMPUTED_VALUE"""),0.799999999999999)</f>
        <v>0.79999999999999905</v>
      </c>
      <c r="AC40" s="83">
        <f ca="1">IFERROR(__xludf.DUMMYFUNCTION("""COMPUTED_VALUE"""),2)</f>
        <v>2</v>
      </c>
      <c r="AD40" s="75" t="str">
        <f ca="1">IFERROR(__xludf.DUMMYFUNCTION("""COMPUTED_VALUE"""),"Station Fail")</f>
        <v>Station Fail</v>
      </c>
      <c r="AE40" s="82">
        <f ca="1">IFERROR(__xludf.DUMMYFUNCTION("""COMPUTED_VALUE"""),1.82399999999999)</f>
        <v>1.8239999999999901</v>
      </c>
      <c r="AF40" s="83">
        <f ca="1">IFERROR(__xludf.DUMMYFUNCTION("""COMPUTED_VALUE"""),3)</f>
        <v>3</v>
      </c>
      <c r="AG40" s="75" t="str">
        <f ca="1">IFERROR(__xludf.DUMMYFUNCTION("""COMPUTED_VALUE"""),"Pass")</f>
        <v>Pass</v>
      </c>
      <c r="AH40" s="82">
        <f ca="1">IFERROR(__xludf.DUMMYFUNCTION("""COMPUTED_VALUE"""),1.44)</f>
        <v>1.44</v>
      </c>
      <c r="AI40" s="83">
        <f ca="1">IFERROR(__xludf.DUMMYFUNCTION("""COMPUTED_VALUE"""),3)</f>
        <v>3</v>
      </c>
      <c r="AJ40" s="75" t="str">
        <f ca="1">IFERROR(__xludf.DUMMYFUNCTION("""COMPUTED_VALUE"""),"Pass")</f>
        <v>Pass</v>
      </c>
      <c r="AK40" s="82">
        <f ca="1">IFERROR(__xludf.DUMMYFUNCTION("""COMPUTED_VALUE"""),2.25)</f>
        <v>2.25</v>
      </c>
      <c r="AL40" s="83">
        <f ca="1">IFERROR(__xludf.DUMMYFUNCTION("""COMPUTED_VALUE"""),4)</f>
        <v>4</v>
      </c>
      <c r="AM40" s="75" t="str">
        <f ca="1">IFERROR(__xludf.DUMMYFUNCTION("""COMPUTED_VALUE"""),"Pass")</f>
        <v>Pass</v>
      </c>
      <c r="AN40" s="82">
        <f ca="1">IFERROR(__xludf.DUMMYFUNCTION("""COMPUTED_VALUE"""),0.184615384615384)</f>
        <v>0.18461538461538399</v>
      </c>
      <c r="AO40" s="83">
        <f ca="1">IFERROR(__xludf.DUMMYFUNCTION("""COMPUTED_VALUE"""),1)</f>
        <v>1</v>
      </c>
      <c r="AP40" s="75" t="str">
        <f ca="1">IFERROR(__xludf.DUMMYFUNCTION("""COMPUTED_VALUE"""),"Station Fail")</f>
        <v>Station Fail</v>
      </c>
      <c r="AQ40" s="82"/>
      <c r="AR40" s="83"/>
      <c r="AS40" s="75"/>
      <c r="AT40" s="82"/>
      <c r="AU40" s="83"/>
      <c r="AV40" s="75"/>
      <c r="AW40" s="82"/>
      <c r="AX40" s="83"/>
      <c r="AY40" s="75"/>
      <c r="AZ40" s="82"/>
      <c r="BA40" s="83"/>
      <c r="BB40" s="75"/>
      <c r="BC40" s="82"/>
      <c r="BD40" s="83"/>
      <c r="BE40" s="75"/>
      <c r="BF40" s="82"/>
      <c r="BG40" s="83"/>
      <c r="BH40" s="75"/>
      <c r="BI40" s="46"/>
    </row>
    <row r="41" spans="1:61" ht="22.5" customHeight="1" x14ac:dyDescent="0.25">
      <c r="A41" s="46"/>
      <c r="B41" s="75"/>
      <c r="C41" s="75"/>
      <c r="D41" s="75"/>
      <c r="E41" s="75" t="str">
        <f ca="1">IFERROR(__xludf.DUMMYFUNCTION("""COMPUTED_VALUE"""),"G04")</f>
        <v>G04</v>
      </c>
      <c r="F41" s="76"/>
      <c r="G41" s="77">
        <f ca="1">IFERROR(__xludf.DUMMYFUNCTION("""COMPUTED_VALUE"""),0)</f>
        <v>0</v>
      </c>
      <c r="H41" s="78">
        <f ca="1">IFERROR(__xludf.DUMMYFUNCTION("""COMPUTED_VALUE"""),10)</f>
        <v>10</v>
      </c>
      <c r="I41" s="79">
        <f ca="1">IFERROR(__xludf.DUMMYFUNCTION("""COMPUTED_VALUE"""),2)</f>
        <v>2</v>
      </c>
      <c r="J41" s="264"/>
      <c r="K41" s="82">
        <f ca="1">IFERROR(__xludf.DUMMYFUNCTION("""COMPUTED_VALUE"""),18.2)</f>
        <v>18.2</v>
      </c>
      <c r="L41" s="81" t="str">
        <f ca="1">IFERROR(__xludf.DUMMYFUNCTION("""COMPUTED_VALUE"""),"Pass")</f>
        <v>Pass</v>
      </c>
      <c r="M41" s="82">
        <f ca="1">IFERROR(__xludf.DUMMYFUNCTION("""COMPUTED_VALUE"""),1.65)</f>
        <v>1.65</v>
      </c>
      <c r="N41" s="83">
        <f ca="1">IFERROR(__xludf.DUMMYFUNCTION("""COMPUTED_VALUE"""),3)</f>
        <v>3</v>
      </c>
      <c r="O41" s="75" t="str">
        <f ca="1">IFERROR(__xludf.DUMMYFUNCTION("""COMPUTED_VALUE"""),"Pass")</f>
        <v>Pass</v>
      </c>
      <c r="P41" s="82">
        <f ca="1">IFERROR(__xludf.DUMMYFUNCTION("""COMPUTED_VALUE"""),2.01290322580645)</f>
        <v>2.0129032258064501</v>
      </c>
      <c r="Q41" s="83">
        <f ca="1">IFERROR(__xludf.DUMMYFUNCTION("""COMPUTED_VALUE"""),4)</f>
        <v>4</v>
      </c>
      <c r="R41" s="75" t="str">
        <f ca="1">IFERROR(__xludf.DUMMYFUNCTION("""COMPUTED_VALUE"""),"Pass")</f>
        <v>Pass</v>
      </c>
      <c r="S41" s="82">
        <f ca="1">IFERROR(__xludf.DUMMYFUNCTION("""COMPUTED_VALUE"""),2.19999999999999)</f>
        <v>2.19999999999999</v>
      </c>
      <c r="T41" s="83">
        <f ca="1">IFERROR(__xludf.DUMMYFUNCTION("""COMPUTED_VALUE"""),5)</f>
        <v>5</v>
      </c>
      <c r="U41" s="75" t="str">
        <f ca="1">IFERROR(__xludf.DUMMYFUNCTION("""COMPUTED_VALUE"""),"Pass")</f>
        <v>Pass</v>
      </c>
      <c r="V41" s="82">
        <f ca="1">IFERROR(__xludf.DUMMYFUNCTION("""COMPUTED_VALUE"""),2.04)</f>
        <v>2.04</v>
      </c>
      <c r="W41" s="83">
        <f ca="1">IFERROR(__xludf.DUMMYFUNCTION("""COMPUTED_VALUE"""),3)</f>
        <v>3</v>
      </c>
      <c r="X41" s="75" t="str">
        <f ca="1">IFERROR(__xludf.DUMMYFUNCTION("""COMPUTED_VALUE"""),"Pass")</f>
        <v>Pass</v>
      </c>
      <c r="Y41" s="82">
        <f ca="1">IFERROR(__xludf.DUMMYFUNCTION("""COMPUTED_VALUE"""),1.79999999999999)</f>
        <v>1.7999999999999901</v>
      </c>
      <c r="Z41" s="83">
        <f ca="1">IFERROR(__xludf.DUMMYFUNCTION("""COMPUTED_VALUE"""),5)</f>
        <v>5</v>
      </c>
      <c r="AA41" s="75" t="str">
        <f ca="1">IFERROR(__xludf.DUMMYFUNCTION("""COMPUTED_VALUE"""),"Pass")</f>
        <v>Pass</v>
      </c>
      <c r="AB41" s="82">
        <f ca="1">IFERROR(__xludf.DUMMYFUNCTION("""COMPUTED_VALUE"""),2.19999999999999)</f>
        <v>2.19999999999999</v>
      </c>
      <c r="AC41" s="83">
        <f ca="1">IFERROR(__xludf.DUMMYFUNCTION("""COMPUTED_VALUE"""),5)</f>
        <v>5</v>
      </c>
      <c r="AD41" s="75" t="str">
        <f ca="1">IFERROR(__xludf.DUMMYFUNCTION("""COMPUTED_VALUE"""),"Pass")</f>
        <v>Pass</v>
      </c>
      <c r="AE41" s="82">
        <f ca="1">IFERROR(__xludf.DUMMYFUNCTION("""COMPUTED_VALUE"""),2.304)</f>
        <v>2.3039999999999998</v>
      </c>
      <c r="AF41" s="83">
        <f ca="1">IFERROR(__xludf.DUMMYFUNCTION("""COMPUTED_VALUE"""),5)</f>
        <v>5</v>
      </c>
      <c r="AG41" s="75" t="str">
        <f ca="1">IFERROR(__xludf.DUMMYFUNCTION("""COMPUTED_VALUE"""),"Pass")</f>
        <v>Pass</v>
      </c>
      <c r="AH41" s="82">
        <f ca="1">IFERROR(__xludf.DUMMYFUNCTION("""COMPUTED_VALUE"""),1.23428571428571)</f>
        <v>1.23428571428571</v>
      </c>
      <c r="AI41" s="83">
        <f ca="1">IFERROR(__xludf.DUMMYFUNCTION("""COMPUTED_VALUE"""),2)</f>
        <v>2</v>
      </c>
      <c r="AJ41" s="75" t="str">
        <f ca="1">IFERROR(__xludf.DUMMYFUNCTION("""COMPUTED_VALUE"""),"Station Fail")</f>
        <v>Station Fail</v>
      </c>
      <c r="AK41" s="82">
        <f ca="1">IFERROR(__xludf.DUMMYFUNCTION("""COMPUTED_VALUE"""),2.025)</f>
        <v>2.0249999999999999</v>
      </c>
      <c r="AL41" s="83">
        <f ca="1">IFERROR(__xludf.DUMMYFUNCTION("""COMPUTED_VALUE"""),3)</f>
        <v>3</v>
      </c>
      <c r="AM41" s="75" t="str">
        <f ca="1">IFERROR(__xludf.DUMMYFUNCTION("""COMPUTED_VALUE"""),"Pass")</f>
        <v>Pass</v>
      </c>
      <c r="AN41" s="82">
        <f ca="1">IFERROR(__xludf.DUMMYFUNCTION("""COMPUTED_VALUE"""),0.738461538461538)</f>
        <v>0.73846153846153795</v>
      </c>
      <c r="AO41" s="83">
        <f ca="1">IFERROR(__xludf.DUMMYFUNCTION("""COMPUTED_VALUE"""),1)</f>
        <v>1</v>
      </c>
      <c r="AP41" s="75" t="str">
        <f ca="1">IFERROR(__xludf.DUMMYFUNCTION("""COMPUTED_VALUE"""),"Station Fail")</f>
        <v>Station Fail</v>
      </c>
      <c r="AQ41" s="82"/>
      <c r="AR41" s="83"/>
      <c r="AS41" s="75"/>
      <c r="AT41" s="82"/>
      <c r="AU41" s="83"/>
      <c r="AV41" s="75"/>
      <c r="AW41" s="82"/>
      <c r="AX41" s="83"/>
      <c r="AY41" s="75"/>
      <c r="AZ41" s="82"/>
      <c r="BA41" s="83"/>
      <c r="BB41" s="75"/>
      <c r="BC41" s="82"/>
      <c r="BD41" s="83"/>
      <c r="BE41" s="75"/>
      <c r="BF41" s="82"/>
      <c r="BG41" s="83"/>
      <c r="BH41" s="75"/>
      <c r="BI41" s="46"/>
    </row>
    <row r="42" spans="1:61" ht="22.5" customHeight="1" x14ac:dyDescent="0.25">
      <c r="A42" s="46"/>
      <c r="B42" s="75"/>
      <c r="C42" s="75"/>
      <c r="D42" s="75"/>
      <c r="E42" s="75" t="str">
        <f ca="1">IFERROR(__xludf.DUMMYFUNCTION("""COMPUTED_VALUE"""),"G04")</f>
        <v>G04</v>
      </c>
      <c r="F42" s="76"/>
      <c r="G42" s="77">
        <f ca="1">IFERROR(__xludf.DUMMYFUNCTION("""COMPUTED_VALUE"""),0)</f>
        <v>0</v>
      </c>
      <c r="H42" s="78">
        <f ca="1">IFERROR(__xludf.DUMMYFUNCTION("""COMPUTED_VALUE"""),10)</f>
        <v>10</v>
      </c>
      <c r="I42" s="79">
        <f ca="1">IFERROR(__xludf.DUMMYFUNCTION("""COMPUTED_VALUE"""),5)</f>
        <v>5</v>
      </c>
      <c r="J42" s="264"/>
      <c r="K42" s="82">
        <f ca="1">IFERROR(__xludf.DUMMYFUNCTION("""COMPUTED_VALUE"""),13.84)</f>
        <v>13.84</v>
      </c>
      <c r="L42" s="81" t="str">
        <f ca="1">IFERROR(__xludf.DUMMYFUNCTION("""COMPUTED_VALUE"""),"Fail")</f>
        <v>Fail</v>
      </c>
      <c r="M42" s="82">
        <f ca="1">IFERROR(__xludf.DUMMYFUNCTION("""COMPUTED_VALUE"""),2.175)</f>
        <v>2.1749999999999998</v>
      </c>
      <c r="N42" s="83">
        <f ca="1">IFERROR(__xludf.DUMMYFUNCTION("""COMPUTED_VALUE"""),4)</f>
        <v>4</v>
      </c>
      <c r="O42" s="75" t="str">
        <f ca="1">IFERROR(__xludf.DUMMYFUNCTION("""COMPUTED_VALUE"""),"Pass")</f>
        <v>Pass</v>
      </c>
      <c r="P42" s="82">
        <f ca="1">IFERROR(__xludf.DUMMYFUNCTION("""COMPUTED_VALUE"""),2.32258064516129)</f>
        <v>2.32258064516129</v>
      </c>
      <c r="Q42" s="83">
        <f ca="1">IFERROR(__xludf.DUMMYFUNCTION("""COMPUTED_VALUE"""),4)</f>
        <v>4</v>
      </c>
      <c r="R42" s="75" t="str">
        <f ca="1">IFERROR(__xludf.DUMMYFUNCTION("""COMPUTED_VALUE"""),"Pass")</f>
        <v>Pass</v>
      </c>
      <c r="S42" s="82">
        <f ca="1">IFERROR(__xludf.DUMMYFUNCTION("""COMPUTED_VALUE"""),0.899999999999999)</f>
        <v>0.89999999999999902</v>
      </c>
      <c r="T42" s="83">
        <f ca="1">IFERROR(__xludf.DUMMYFUNCTION("""COMPUTED_VALUE"""),1)</f>
        <v>1</v>
      </c>
      <c r="U42" s="75" t="str">
        <f ca="1">IFERROR(__xludf.DUMMYFUNCTION("""COMPUTED_VALUE"""),"Station Fail")</f>
        <v>Station Fail</v>
      </c>
      <c r="V42" s="82">
        <f ca="1">IFERROR(__xludf.DUMMYFUNCTION("""COMPUTED_VALUE"""),1.44)</f>
        <v>1.44</v>
      </c>
      <c r="W42" s="83">
        <f ca="1">IFERROR(__xludf.DUMMYFUNCTION("""COMPUTED_VALUE"""),3)</f>
        <v>3</v>
      </c>
      <c r="X42" s="75" t="str">
        <f ca="1">IFERROR(__xludf.DUMMYFUNCTION("""COMPUTED_VALUE"""),"Pass")</f>
        <v>Pass</v>
      </c>
      <c r="Y42" s="82">
        <f ca="1">IFERROR(__xludf.DUMMYFUNCTION("""COMPUTED_VALUE"""),1.92)</f>
        <v>1.92</v>
      </c>
      <c r="Z42" s="83">
        <f ca="1">IFERROR(__xludf.DUMMYFUNCTION("""COMPUTED_VALUE"""),4)</f>
        <v>4</v>
      </c>
      <c r="AA42" s="75" t="str">
        <f ca="1">IFERROR(__xludf.DUMMYFUNCTION("""COMPUTED_VALUE"""),"Pass")</f>
        <v>Pass</v>
      </c>
      <c r="AB42" s="82">
        <f ca="1">IFERROR(__xludf.DUMMYFUNCTION("""COMPUTED_VALUE"""),0.5)</f>
        <v>0.5</v>
      </c>
      <c r="AC42" s="83">
        <f ca="1">IFERROR(__xludf.DUMMYFUNCTION("""COMPUTED_VALUE"""),2)</f>
        <v>2</v>
      </c>
      <c r="AD42" s="75" t="str">
        <f ca="1">IFERROR(__xludf.DUMMYFUNCTION("""COMPUTED_VALUE"""),"Station Fail")</f>
        <v>Station Fail</v>
      </c>
      <c r="AE42" s="82">
        <f ca="1">IFERROR(__xludf.DUMMYFUNCTION("""COMPUTED_VALUE"""),0.96)</f>
        <v>0.96</v>
      </c>
      <c r="AF42" s="83">
        <f ca="1">IFERROR(__xludf.DUMMYFUNCTION("""COMPUTED_VALUE"""),1)</f>
        <v>1</v>
      </c>
      <c r="AG42" s="75" t="str">
        <f ca="1">IFERROR(__xludf.DUMMYFUNCTION("""COMPUTED_VALUE"""),"Station Fail")</f>
        <v>Station Fail</v>
      </c>
      <c r="AH42" s="82">
        <f ca="1">IFERROR(__xludf.DUMMYFUNCTION("""COMPUTED_VALUE"""),1.37142857142857)</f>
        <v>1.3714285714285701</v>
      </c>
      <c r="AI42" s="83">
        <f ca="1">IFERROR(__xludf.DUMMYFUNCTION("""COMPUTED_VALUE"""),3)</f>
        <v>3</v>
      </c>
      <c r="AJ42" s="75" t="str">
        <f ca="1">IFERROR(__xludf.DUMMYFUNCTION("""COMPUTED_VALUE"""),"Station Fail")</f>
        <v>Station Fail</v>
      </c>
      <c r="AK42" s="82">
        <f ca="1">IFERROR(__xludf.DUMMYFUNCTION("""COMPUTED_VALUE"""),2.25)</f>
        <v>2.25</v>
      </c>
      <c r="AL42" s="83">
        <f ca="1">IFERROR(__xludf.DUMMYFUNCTION("""COMPUTED_VALUE"""),5)</f>
        <v>5</v>
      </c>
      <c r="AM42" s="75" t="str">
        <f ca="1">IFERROR(__xludf.DUMMYFUNCTION("""COMPUTED_VALUE"""),"Pass")</f>
        <v>Pass</v>
      </c>
      <c r="AN42" s="82">
        <f ca="1">IFERROR(__xludf.DUMMYFUNCTION("""COMPUTED_VALUE"""),0)</f>
        <v>0</v>
      </c>
      <c r="AO42" s="83">
        <f ca="1">IFERROR(__xludf.DUMMYFUNCTION("""COMPUTED_VALUE"""),1)</f>
        <v>1</v>
      </c>
      <c r="AP42" s="75" t="str">
        <f ca="1">IFERROR(__xludf.DUMMYFUNCTION("""COMPUTED_VALUE"""),"Station Fail")</f>
        <v>Station Fail</v>
      </c>
      <c r="AQ42" s="82"/>
      <c r="AR42" s="83"/>
      <c r="AS42" s="75"/>
      <c r="AT42" s="82"/>
      <c r="AU42" s="83"/>
      <c r="AV42" s="75"/>
      <c r="AW42" s="82"/>
      <c r="AX42" s="83"/>
      <c r="AY42" s="75"/>
      <c r="AZ42" s="82"/>
      <c r="BA42" s="83"/>
      <c r="BB42" s="75"/>
      <c r="BC42" s="82"/>
      <c r="BD42" s="83"/>
      <c r="BE42" s="75"/>
      <c r="BF42" s="82"/>
      <c r="BG42" s="83"/>
      <c r="BH42" s="75"/>
      <c r="BI42" s="46"/>
    </row>
    <row r="43" spans="1:61" ht="22.5" customHeight="1" x14ac:dyDescent="0.25">
      <c r="A43" s="46"/>
      <c r="B43" s="75"/>
      <c r="C43" s="75"/>
      <c r="D43" s="75"/>
      <c r="E43" s="75" t="str">
        <f ca="1">IFERROR(__xludf.DUMMYFUNCTION("""COMPUTED_VALUE"""),"G04")</f>
        <v>G04</v>
      </c>
      <c r="F43" s="76"/>
      <c r="G43" s="77">
        <f ca="1">IFERROR(__xludf.DUMMYFUNCTION("""COMPUTED_VALUE"""),0)</f>
        <v>0</v>
      </c>
      <c r="H43" s="78">
        <f ca="1">IFERROR(__xludf.DUMMYFUNCTION("""COMPUTED_VALUE"""),10)</f>
        <v>10</v>
      </c>
      <c r="I43" s="79">
        <f ca="1">IFERROR(__xludf.DUMMYFUNCTION("""COMPUTED_VALUE"""),0)</f>
        <v>0</v>
      </c>
      <c r="J43" s="264"/>
      <c r="K43" s="82">
        <f ca="1">IFERROR(__xludf.DUMMYFUNCTION("""COMPUTED_VALUE"""),20.16)</f>
        <v>20.16</v>
      </c>
      <c r="L43" s="81" t="str">
        <f ca="1">IFERROR(__xludf.DUMMYFUNCTION("""COMPUTED_VALUE"""),"Pass")</f>
        <v>Pass</v>
      </c>
      <c r="M43" s="82">
        <f ca="1">IFERROR(__xludf.DUMMYFUNCTION("""COMPUTED_VALUE"""),1.65)</f>
        <v>1.65</v>
      </c>
      <c r="N43" s="83">
        <f ca="1">IFERROR(__xludf.DUMMYFUNCTION("""COMPUTED_VALUE"""),4)</f>
        <v>4</v>
      </c>
      <c r="O43" s="75" t="str">
        <f ca="1">IFERROR(__xludf.DUMMYFUNCTION("""COMPUTED_VALUE"""),"Pass")</f>
        <v>Pass</v>
      </c>
      <c r="P43" s="82">
        <f ca="1">IFERROR(__xludf.DUMMYFUNCTION("""COMPUTED_VALUE"""),2.01290322580645)</f>
        <v>2.0129032258064501</v>
      </c>
      <c r="Q43" s="83">
        <f ca="1">IFERROR(__xludf.DUMMYFUNCTION("""COMPUTED_VALUE"""),4)</f>
        <v>4</v>
      </c>
      <c r="R43" s="75" t="str">
        <f ca="1">IFERROR(__xludf.DUMMYFUNCTION("""COMPUTED_VALUE"""),"Pass")</f>
        <v>Pass</v>
      </c>
      <c r="S43" s="82">
        <f ca="1">IFERROR(__xludf.DUMMYFUNCTION("""COMPUTED_VALUE"""),2.1)</f>
        <v>2.1</v>
      </c>
      <c r="T43" s="83">
        <f ca="1">IFERROR(__xludf.DUMMYFUNCTION("""COMPUTED_VALUE"""),4)</f>
        <v>4</v>
      </c>
      <c r="U43" s="75" t="str">
        <f ca="1">IFERROR(__xludf.DUMMYFUNCTION("""COMPUTED_VALUE"""),"Pass")</f>
        <v>Pass</v>
      </c>
      <c r="V43" s="82">
        <f ca="1">IFERROR(__xludf.DUMMYFUNCTION("""COMPUTED_VALUE"""),2.4)</f>
        <v>2.4</v>
      </c>
      <c r="W43" s="83">
        <f ca="1">IFERROR(__xludf.DUMMYFUNCTION("""COMPUTED_VALUE"""),5)</f>
        <v>5</v>
      </c>
      <c r="X43" s="75" t="str">
        <f ca="1">IFERROR(__xludf.DUMMYFUNCTION("""COMPUTED_VALUE"""),"Pass")</f>
        <v>Pass</v>
      </c>
      <c r="Y43" s="82">
        <f ca="1">IFERROR(__xludf.DUMMYFUNCTION("""COMPUTED_VALUE"""),1.68)</f>
        <v>1.68</v>
      </c>
      <c r="Z43" s="83">
        <f ca="1">IFERROR(__xludf.DUMMYFUNCTION("""COMPUTED_VALUE"""),5)</f>
        <v>5</v>
      </c>
      <c r="AA43" s="75" t="str">
        <f ca="1">IFERROR(__xludf.DUMMYFUNCTION("""COMPUTED_VALUE"""),"Pass")</f>
        <v>Pass</v>
      </c>
      <c r="AB43" s="82">
        <f ca="1">IFERROR(__xludf.DUMMYFUNCTION("""COMPUTED_VALUE"""),2.4)</f>
        <v>2.4</v>
      </c>
      <c r="AC43" s="83">
        <f ca="1">IFERROR(__xludf.DUMMYFUNCTION("""COMPUTED_VALUE"""),5)</f>
        <v>5</v>
      </c>
      <c r="AD43" s="75" t="str">
        <f ca="1">IFERROR(__xludf.DUMMYFUNCTION("""COMPUTED_VALUE"""),"Pass")</f>
        <v>Pass</v>
      </c>
      <c r="AE43" s="82">
        <f ca="1">IFERROR(__xludf.DUMMYFUNCTION("""COMPUTED_VALUE"""),2.208)</f>
        <v>2.2080000000000002</v>
      </c>
      <c r="AF43" s="83">
        <f ca="1">IFERROR(__xludf.DUMMYFUNCTION("""COMPUTED_VALUE"""),4)</f>
        <v>4</v>
      </c>
      <c r="AG43" s="75" t="str">
        <f ca="1">IFERROR(__xludf.DUMMYFUNCTION("""COMPUTED_VALUE"""),"Pass")</f>
        <v>Pass</v>
      </c>
      <c r="AH43" s="82">
        <f ca="1">IFERROR(__xludf.DUMMYFUNCTION("""COMPUTED_VALUE"""),1.64571428571428)</f>
        <v>1.6457142857142799</v>
      </c>
      <c r="AI43" s="83">
        <f ca="1">IFERROR(__xludf.DUMMYFUNCTION("""COMPUTED_VALUE"""),4)</f>
        <v>4</v>
      </c>
      <c r="AJ43" s="75" t="str">
        <f ca="1">IFERROR(__xludf.DUMMYFUNCTION("""COMPUTED_VALUE"""),"Pass")</f>
        <v>Pass</v>
      </c>
      <c r="AK43" s="82">
        <f ca="1">IFERROR(__xludf.DUMMYFUNCTION("""COMPUTED_VALUE"""),2.4)</f>
        <v>2.4</v>
      </c>
      <c r="AL43" s="83">
        <f ca="1">IFERROR(__xludf.DUMMYFUNCTION("""COMPUTED_VALUE"""),5)</f>
        <v>5</v>
      </c>
      <c r="AM43" s="75" t="str">
        <f ca="1">IFERROR(__xludf.DUMMYFUNCTION("""COMPUTED_VALUE"""),"Pass")</f>
        <v>Pass</v>
      </c>
      <c r="AN43" s="82">
        <f ca="1">IFERROR(__xludf.DUMMYFUNCTION("""COMPUTED_VALUE"""),1.66153846153846)</f>
        <v>1.6615384615384601</v>
      </c>
      <c r="AO43" s="83">
        <f ca="1">IFERROR(__xludf.DUMMYFUNCTION("""COMPUTED_VALUE"""),2)</f>
        <v>2</v>
      </c>
      <c r="AP43" s="75" t="str">
        <f ca="1">IFERROR(__xludf.DUMMYFUNCTION("""COMPUTED_VALUE"""),"Pass")</f>
        <v>Pass</v>
      </c>
      <c r="AQ43" s="82"/>
      <c r="AR43" s="83"/>
      <c r="AS43" s="75"/>
      <c r="AT43" s="82"/>
      <c r="AU43" s="83"/>
      <c r="AV43" s="75"/>
      <c r="AW43" s="82"/>
      <c r="AX43" s="83"/>
      <c r="AY43" s="75"/>
      <c r="AZ43" s="82"/>
      <c r="BA43" s="83"/>
      <c r="BB43" s="75"/>
      <c r="BC43" s="82"/>
      <c r="BD43" s="83"/>
      <c r="BE43" s="75"/>
      <c r="BF43" s="82"/>
      <c r="BG43" s="83"/>
      <c r="BH43" s="75"/>
      <c r="BI43" s="46"/>
    </row>
    <row r="44" spans="1:61" ht="22.5" customHeight="1" x14ac:dyDescent="0.25">
      <c r="A44" s="46"/>
      <c r="B44" s="75"/>
      <c r="C44" s="75"/>
      <c r="D44" s="75"/>
      <c r="E44" s="75" t="str">
        <f ca="1">IFERROR(__xludf.DUMMYFUNCTION("""COMPUTED_VALUE"""),"G04")</f>
        <v>G04</v>
      </c>
      <c r="F44" s="76"/>
      <c r="G44" s="77">
        <f ca="1">IFERROR(__xludf.DUMMYFUNCTION("""COMPUTED_VALUE"""),0)</f>
        <v>0</v>
      </c>
      <c r="H44" s="78">
        <f ca="1">IFERROR(__xludf.DUMMYFUNCTION("""COMPUTED_VALUE"""),10)</f>
        <v>10</v>
      </c>
      <c r="I44" s="79">
        <f ca="1">IFERROR(__xludf.DUMMYFUNCTION("""COMPUTED_VALUE"""),3)</f>
        <v>3</v>
      </c>
      <c r="J44" s="264"/>
      <c r="K44" s="82">
        <f ca="1">IFERROR(__xludf.DUMMYFUNCTION("""COMPUTED_VALUE"""),15.89)</f>
        <v>15.89</v>
      </c>
      <c r="L44" s="81" t="str">
        <f ca="1">IFERROR(__xludf.DUMMYFUNCTION("""COMPUTED_VALUE"""),"Pass")</f>
        <v>Pass</v>
      </c>
      <c r="M44" s="82">
        <f ca="1">IFERROR(__xludf.DUMMYFUNCTION("""COMPUTED_VALUE"""),2.1)</f>
        <v>2.1</v>
      </c>
      <c r="N44" s="83">
        <f ca="1">IFERROR(__xludf.DUMMYFUNCTION("""COMPUTED_VALUE"""),4)</f>
        <v>4</v>
      </c>
      <c r="O44" s="75" t="str">
        <f ca="1">IFERROR(__xludf.DUMMYFUNCTION("""COMPUTED_VALUE"""),"Pass")</f>
        <v>Pass</v>
      </c>
      <c r="P44" s="82">
        <f ca="1">IFERROR(__xludf.DUMMYFUNCTION("""COMPUTED_VALUE"""),2.16774193548387)</f>
        <v>2.1677419354838698</v>
      </c>
      <c r="Q44" s="83">
        <f ca="1">IFERROR(__xludf.DUMMYFUNCTION("""COMPUTED_VALUE"""),5)</f>
        <v>5</v>
      </c>
      <c r="R44" s="75" t="str">
        <f ca="1">IFERROR(__xludf.DUMMYFUNCTION("""COMPUTED_VALUE"""),"Pass")</f>
        <v>Pass</v>
      </c>
      <c r="S44" s="82">
        <f ca="1">IFERROR(__xludf.DUMMYFUNCTION("""COMPUTED_VALUE"""),1.4)</f>
        <v>1.4</v>
      </c>
      <c r="T44" s="83">
        <f ca="1">IFERROR(__xludf.DUMMYFUNCTION("""COMPUTED_VALUE"""),2)</f>
        <v>2</v>
      </c>
      <c r="U44" s="75" t="str">
        <f ca="1">IFERROR(__xludf.DUMMYFUNCTION("""COMPUTED_VALUE"""),"Station Fail")</f>
        <v>Station Fail</v>
      </c>
      <c r="V44" s="82">
        <f ca="1">IFERROR(__xludf.DUMMYFUNCTION("""COMPUTED_VALUE"""),1.44)</f>
        <v>1.44</v>
      </c>
      <c r="W44" s="83">
        <f ca="1">IFERROR(__xludf.DUMMYFUNCTION("""COMPUTED_VALUE"""),4)</f>
        <v>4</v>
      </c>
      <c r="X44" s="75" t="str">
        <f ca="1">IFERROR(__xludf.DUMMYFUNCTION("""COMPUTED_VALUE"""),"Pass")</f>
        <v>Pass</v>
      </c>
      <c r="Y44" s="82">
        <f ca="1">IFERROR(__xludf.DUMMYFUNCTION("""COMPUTED_VALUE"""),1.79999999999999)</f>
        <v>1.7999999999999901</v>
      </c>
      <c r="Z44" s="83">
        <f ca="1">IFERROR(__xludf.DUMMYFUNCTION("""COMPUTED_VALUE"""),3)</f>
        <v>3</v>
      </c>
      <c r="AA44" s="75" t="str">
        <f ca="1">IFERROR(__xludf.DUMMYFUNCTION("""COMPUTED_VALUE"""),"Pass")</f>
        <v>Pass</v>
      </c>
      <c r="AB44" s="82">
        <f ca="1">IFERROR(__xludf.DUMMYFUNCTION("""COMPUTED_VALUE"""),1.09999999999999)</f>
        <v>1.0999999999999901</v>
      </c>
      <c r="AC44" s="83">
        <f ca="1">IFERROR(__xludf.DUMMYFUNCTION("""COMPUTED_VALUE"""),2)</f>
        <v>2</v>
      </c>
      <c r="AD44" s="75" t="str">
        <f ca="1">IFERROR(__xludf.DUMMYFUNCTION("""COMPUTED_VALUE"""),"Station Fail")</f>
        <v>Station Fail</v>
      </c>
      <c r="AE44" s="82">
        <f ca="1">IFERROR(__xludf.DUMMYFUNCTION("""COMPUTED_VALUE"""),1.82399999999999)</f>
        <v>1.8239999999999901</v>
      </c>
      <c r="AF44" s="83">
        <f ca="1">IFERROR(__xludf.DUMMYFUNCTION("""COMPUTED_VALUE"""),4)</f>
        <v>4</v>
      </c>
      <c r="AG44" s="75" t="str">
        <f ca="1">IFERROR(__xludf.DUMMYFUNCTION("""COMPUTED_VALUE"""),"Pass")</f>
        <v>Pass</v>
      </c>
      <c r="AH44" s="82">
        <f ca="1">IFERROR(__xludf.DUMMYFUNCTION("""COMPUTED_VALUE"""),1.85142857142857)</f>
        <v>1.8514285714285701</v>
      </c>
      <c r="AI44" s="83">
        <f ca="1">IFERROR(__xludf.DUMMYFUNCTION("""COMPUTED_VALUE"""),4)</f>
        <v>4</v>
      </c>
      <c r="AJ44" s="75" t="str">
        <f ca="1">IFERROR(__xludf.DUMMYFUNCTION("""COMPUTED_VALUE"""),"Pass")</f>
        <v>Pass</v>
      </c>
      <c r="AK44" s="82">
        <f ca="1">IFERROR(__xludf.DUMMYFUNCTION("""COMPUTED_VALUE"""),1.65)</f>
        <v>1.65</v>
      </c>
      <c r="AL44" s="83">
        <f ca="1">IFERROR(__xludf.DUMMYFUNCTION("""COMPUTED_VALUE"""),3)</f>
        <v>3</v>
      </c>
      <c r="AM44" s="75" t="str">
        <f ca="1">IFERROR(__xludf.DUMMYFUNCTION("""COMPUTED_VALUE"""),"Pass")</f>
        <v>Pass</v>
      </c>
      <c r="AN44" s="82">
        <f ca="1">IFERROR(__xludf.DUMMYFUNCTION("""COMPUTED_VALUE"""),0.553846153846153)</f>
        <v>0.55384615384615299</v>
      </c>
      <c r="AO44" s="83">
        <f ca="1">IFERROR(__xludf.DUMMYFUNCTION("""COMPUTED_VALUE"""),1)</f>
        <v>1</v>
      </c>
      <c r="AP44" s="75" t="str">
        <f ca="1">IFERROR(__xludf.DUMMYFUNCTION("""COMPUTED_VALUE"""),"Station Fail")</f>
        <v>Station Fail</v>
      </c>
      <c r="AQ44" s="82"/>
      <c r="AR44" s="83"/>
      <c r="AS44" s="75"/>
      <c r="AT44" s="82"/>
      <c r="AU44" s="83"/>
      <c r="AV44" s="75"/>
      <c r="AW44" s="82"/>
      <c r="AX44" s="83"/>
      <c r="AY44" s="75"/>
      <c r="AZ44" s="82"/>
      <c r="BA44" s="83"/>
      <c r="BB44" s="75"/>
      <c r="BC44" s="82"/>
      <c r="BD44" s="83"/>
      <c r="BE44" s="75"/>
      <c r="BF44" s="82"/>
      <c r="BG44" s="83"/>
      <c r="BH44" s="75"/>
      <c r="BI44" s="46"/>
    </row>
    <row r="45" spans="1:61" ht="22.5" customHeight="1" x14ac:dyDescent="0.25">
      <c r="A45" s="46"/>
      <c r="B45" s="75"/>
      <c r="C45" s="75"/>
      <c r="D45" s="75"/>
      <c r="E45" s="75" t="str">
        <f ca="1">IFERROR(__xludf.DUMMYFUNCTION("""COMPUTED_VALUE"""),"G04")</f>
        <v>G04</v>
      </c>
      <c r="F45" s="76"/>
      <c r="G45" s="77">
        <f ca="1">IFERROR(__xludf.DUMMYFUNCTION("""COMPUTED_VALUE"""),0)</f>
        <v>0</v>
      </c>
      <c r="H45" s="78">
        <f ca="1">IFERROR(__xludf.DUMMYFUNCTION("""COMPUTED_VALUE"""),10)</f>
        <v>10</v>
      </c>
      <c r="I45" s="79">
        <f ca="1">IFERROR(__xludf.DUMMYFUNCTION("""COMPUTED_VALUE"""),2)</f>
        <v>2</v>
      </c>
      <c r="J45" s="264"/>
      <c r="K45" s="82">
        <f ca="1">IFERROR(__xludf.DUMMYFUNCTION("""COMPUTED_VALUE"""),16.65)</f>
        <v>16.649999999999999</v>
      </c>
      <c r="L45" s="81" t="str">
        <f ca="1">IFERROR(__xludf.DUMMYFUNCTION("""COMPUTED_VALUE"""),"Pass")</f>
        <v>Pass</v>
      </c>
      <c r="M45" s="82">
        <f ca="1">IFERROR(__xludf.DUMMYFUNCTION("""COMPUTED_VALUE"""),1.125)</f>
        <v>1.125</v>
      </c>
      <c r="N45" s="83">
        <f ca="1">IFERROR(__xludf.DUMMYFUNCTION("""COMPUTED_VALUE"""),3)</f>
        <v>3</v>
      </c>
      <c r="O45" s="75" t="str">
        <f ca="1">IFERROR(__xludf.DUMMYFUNCTION("""COMPUTED_VALUE"""),"Station Fail")</f>
        <v>Station Fail</v>
      </c>
      <c r="P45" s="82">
        <f ca="1">IFERROR(__xludf.DUMMYFUNCTION("""COMPUTED_VALUE"""),2.24516129032258)</f>
        <v>2.2451612903225802</v>
      </c>
      <c r="Q45" s="83">
        <f ca="1">IFERROR(__xludf.DUMMYFUNCTION("""COMPUTED_VALUE"""),5)</f>
        <v>5</v>
      </c>
      <c r="R45" s="75" t="str">
        <f ca="1">IFERROR(__xludf.DUMMYFUNCTION("""COMPUTED_VALUE"""),"Pass")</f>
        <v>Pass</v>
      </c>
      <c r="S45" s="82">
        <f ca="1">IFERROR(__xludf.DUMMYFUNCTION("""COMPUTED_VALUE"""),1.9)</f>
        <v>1.9</v>
      </c>
      <c r="T45" s="83">
        <f ca="1">IFERROR(__xludf.DUMMYFUNCTION("""COMPUTED_VALUE"""),3)</f>
        <v>3</v>
      </c>
      <c r="U45" s="75" t="str">
        <f ca="1">IFERROR(__xludf.DUMMYFUNCTION("""COMPUTED_VALUE"""),"Pass")</f>
        <v>Pass</v>
      </c>
      <c r="V45" s="82">
        <f ca="1">IFERROR(__xludf.DUMMYFUNCTION("""COMPUTED_VALUE"""),2.28)</f>
        <v>2.2799999999999998</v>
      </c>
      <c r="W45" s="83">
        <f ca="1">IFERROR(__xludf.DUMMYFUNCTION("""COMPUTED_VALUE"""),4)</f>
        <v>4</v>
      </c>
      <c r="X45" s="75" t="str">
        <f ca="1">IFERROR(__xludf.DUMMYFUNCTION("""COMPUTED_VALUE"""),"Pass")</f>
        <v>Pass</v>
      </c>
      <c r="Y45" s="82">
        <f ca="1">IFERROR(__xludf.DUMMYFUNCTION("""COMPUTED_VALUE"""),1.68)</f>
        <v>1.68</v>
      </c>
      <c r="Z45" s="83">
        <f ca="1">IFERROR(__xludf.DUMMYFUNCTION("""COMPUTED_VALUE"""),4)</f>
        <v>4</v>
      </c>
      <c r="AA45" s="75" t="str">
        <f ca="1">IFERROR(__xludf.DUMMYFUNCTION("""COMPUTED_VALUE"""),"Pass")</f>
        <v>Pass</v>
      </c>
      <c r="AB45" s="82">
        <f ca="1">IFERROR(__xludf.DUMMYFUNCTION("""COMPUTED_VALUE"""),2)</f>
        <v>2</v>
      </c>
      <c r="AC45" s="83">
        <f ca="1">IFERROR(__xludf.DUMMYFUNCTION("""COMPUTED_VALUE"""),4)</f>
        <v>4</v>
      </c>
      <c r="AD45" s="75" t="str">
        <f ca="1">IFERROR(__xludf.DUMMYFUNCTION("""COMPUTED_VALUE"""),"Pass")</f>
        <v>Pass</v>
      </c>
      <c r="AE45" s="82">
        <f ca="1">IFERROR(__xludf.DUMMYFUNCTION("""COMPUTED_VALUE"""),1.44)</f>
        <v>1.44</v>
      </c>
      <c r="AF45" s="83">
        <f ca="1">IFERROR(__xludf.DUMMYFUNCTION("""COMPUTED_VALUE"""),3)</f>
        <v>3</v>
      </c>
      <c r="AG45" s="75" t="str">
        <f ca="1">IFERROR(__xludf.DUMMYFUNCTION("""COMPUTED_VALUE"""),"Pass")</f>
        <v>Pass</v>
      </c>
      <c r="AH45" s="82">
        <f ca="1">IFERROR(__xludf.DUMMYFUNCTION("""COMPUTED_VALUE"""),1.44)</f>
        <v>1.44</v>
      </c>
      <c r="AI45" s="83">
        <f ca="1">IFERROR(__xludf.DUMMYFUNCTION("""COMPUTED_VALUE"""),3)</f>
        <v>3</v>
      </c>
      <c r="AJ45" s="75" t="str">
        <f ca="1">IFERROR(__xludf.DUMMYFUNCTION("""COMPUTED_VALUE"""),"Pass")</f>
        <v>Pass</v>
      </c>
      <c r="AK45" s="82">
        <f ca="1">IFERROR(__xludf.DUMMYFUNCTION("""COMPUTED_VALUE"""),1.79999999999999)</f>
        <v>1.7999999999999901</v>
      </c>
      <c r="AL45" s="83">
        <f ca="1">IFERROR(__xludf.DUMMYFUNCTION("""COMPUTED_VALUE"""),4)</f>
        <v>4</v>
      </c>
      <c r="AM45" s="75" t="str">
        <f ca="1">IFERROR(__xludf.DUMMYFUNCTION("""COMPUTED_VALUE"""),"Pass")</f>
        <v>Pass</v>
      </c>
      <c r="AN45" s="82">
        <f ca="1">IFERROR(__xludf.DUMMYFUNCTION("""COMPUTED_VALUE"""),0.738461538461538)</f>
        <v>0.73846153846153795</v>
      </c>
      <c r="AO45" s="83">
        <f ca="1">IFERROR(__xludf.DUMMYFUNCTION("""COMPUTED_VALUE"""),1)</f>
        <v>1</v>
      </c>
      <c r="AP45" s="75" t="str">
        <f ca="1">IFERROR(__xludf.DUMMYFUNCTION("""COMPUTED_VALUE"""),"Station Fail")</f>
        <v>Station Fail</v>
      </c>
      <c r="AQ45" s="82"/>
      <c r="AR45" s="83"/>
      <c r="AS45" s="75"/>
      <c r="AT45" s="82"/>
      <c r="AU45" s="83"/>
      <c r="AV45" s="75"/>
      <c r="AW45" s="82"/>
      <c r="AX45" s="83"/>
      <c r="AY45" s="75"/>
      <c r="AZ45" s="82"/>
      <c r="BA45" s="83"/>
      <c r="BB45" s="75"/>
      <c r="BC45" s="82"/>
      <c r="BD45" s="83"/>
      <c r="BE45" s="75"/>
      <c r="BF45" s="82"/>
      <c r="BG45" s="83"/>
      <c r="BH45" s="75"/>
      <c r="BI45" s="46"/>
    </row>
    <row r="46" spans="1:61" ht="22.5" customHeight="1" x14ac:dyDescent="0.25">
      <c r="A46" s="46"/>
      <c r="B46" s="75"/>
      <c r="C46" s="75"/>
      <c r="D46" s="75"/>
      <c r="E46" s="75" t="str">
        <f ca="1">IFERROR(__xludf.DUMMYFUNCTION("""COMPUTED_VALUE"""),"G04")</f>
        <v>G04</v>
      </c>
      <c r="F46" s="76"/>
      <c r="G46" s="77">
        <f ca="1">IFERROR(__xludf.DUMMYFUNCTION("""COMPUTED_VALUE"""),0)</f>
        <v>0</v>
      </c>
      <c r="H46" s="78">
        <f ca="1">IFERROR(__xludf.DUMMYFUNCTION("""COMPUTED_VALUE"""),10)</f>
        <v>10</v>
      </c>
      <c r="I46" s="79">
        <f ca="1">IFERROR(__xludf.DUMMYFUNCTION("""COMPUTED_VALUE"""),1)</f>
        <v>1</v>
      </c>
      <c r="J46" s="264"/>
      <c r="K46" s="82">
        <f ca="1">IFERROR(__xludf.DUMMYFUNCTION("""COMPUTED_VALUE"""),18.82)</f>
        <v>18.82</v>
      </c>
      <c r="L46" s="81" t="str">
        <f ca="1">IFERROR(__xludf.DUMMYFUNCTION("""COMPUTED_VALUE"""),"Pass")</f>
        <v>Pass</v>
      </c>
      <c r="M46" s="82">
        <f ca="1">IFERROR(__xludf.DUMMYFUNCTION("""COMPUTED_VALUE"""),1.5)</f>
        <v>1.5</v>
      </c>
      <c r="N46" s="83">
        <f ca="1">IFERROR(__xludf.DUMMYFUNCTION("""COMPUTED_VALUE"""),3)</f>
        <v>3</v>
      </c>
      <c r="O46" s="75" t="str">
        <f ca="1">IFERROR(__xludf.DUMMYFUNCTION("""COMPUTED_VALUE"""),"Pass")</f>
        <v>Pass</v>
      </c>
      <c r="P46" s="82">
        <f ca="1">IFERROR(__xludf.DUMMYFUNCTION("""COMPUTED_VALUE"""),2.16774193548387)</f>
        <v>2.1677419354838698</v>
      </c>
      <c r="Q46" s="83">
        <f ca="1">IFERROR(__xludf.DUMMYFUNCTION("""COMPUTED_VALUE"""),4)</f>
        <v>4</v>
      </c>
      <c r="R46" s="75" t="str">
        <f ca="1">IFERROR(__xludf.DUMMYFUNCTION("""COMPUTED_VALUE"""),"Pass")</f>
        <v>Pass</v>
      </c>
      <c r="S46" s="82">
        <f ca="1">IFERROR(__xludf.DUMMYFUNCTION("""COMPUTED_VALUE"""),2.3)</f>
        <v>2.2999999999999998</v>
      </c>
      <c r="T46" s="83">
        <f ca="1">IFERROR(__xludf.DUMMYFUNCTION("""COMPUTED_VALUE"""),5)</f>
        <v>5</v>
      </c>
      <c r="U46" s="75" t="str">
        <f ca="1">IFERROR(__xludf.DUMMYFUNCTION("""COMPUTED_VALUE"""),"Pass")</f>
        <v>Pass</v>
      </c>
      <c r="V46" s="82">
        <f ca="1">IFERROR(__xludf.DUMMYFUNCTION("""COMPUTED_VALUE"""),2.4)</f>
        <v>2.4</v>
      </c>
      <c r="W46" s="83">
        <f ca="1">IFERROR(__xludf.DUMMYFUNCTION("""COMPUTED_VALUE"""),4)</f>
        <v>4</v>
      </c>
      <c r="X46" s="75" t="str">
        <f ca="1">IFERROR(__xludf.DUMMYFUNCTION("""COMPUTED_VALUE"""),"Pass")</f>
        <v>Pass</v>
      </c>
      <c r="Y46" s="82">
        <f ca="1">IFERROR(__xludf.DUMMYFUNCTION("""COMPUTED_VALUE"""),1.79999999999999)</f>
        <v>1.7999999999999901</v>
      </c>
      <c r="Z46" s="83">
        <f ca="1">IFERROR(__xludf.DUMMYFUNCTION("""COMPUTED_VALUE"""),5)</f>
        <v>5</v>
      </c>
      <c r="AA46" s="75" t="str">
        <f ca="1">IFERROR(__xludf.DUMMYFUNCTION("""COMPUTED_VALUE"""),"Pass")</f>
        <v>Pass</v>
      </c>
      <c r="AB46" s="82">
        <f ca="1">IFERROR(__xludf.DUMMYFUNCTION("""COMPUTED_VALUE"""),2.4)</f>
        <v>2.4</v>
      </c>
      <c r="AC46" s="83">
        <f ca="1">IFERROR(__xludf.DUMMYFUNCTION("""COMPUTED_VALUE"""),5)</f>
        <v>5</v>
      </c>
      <c r="AD46" s="75" t="str">
        <f ca="1">IFERROR(__xludf.DUMMYFUNCTION("""COMPUTED_VALUE"""),"Pass")</f>
        <v>Pass</v>
      </c>
      <c r="AE46" s="82">
        <f ca="1">IFERROR(__xludf.DUMMYFUNCTION("""COMPUTED_VALUE"""),2.016)</f>
        <v>2.016</v>
      </c>
      <c r="AF46" s="83">
        <f ca="1">IFERROR(__xludf.DUMMYFUNCTION("""COMPUTED_VALUE"""),4)</f>
        <v>4</v>
      </c>
      <c r="AG46" s="75" t="str">
        <f ca="1">IFERROR(__xludf.DUMMYFUNCTION("""COMPUTED_VALUE"""),"Pass")</f>
        <v>Pass</v>
      </c>
      <c r="AH46" s="82">
        <f ca="1">IFERROR(__xludf.DUMMYFUNCTION("""COMPUTED_VALUE"""),1.50857142857142)</f>
        <v>1.50857142857142</v>
      </c>
      <c r="AI46" s="83">
        <f ca="1">IFERROR(__xludf.DUMMYFUNCTION("""COMPUTED_VALUE"""),3)</f>
        <v>3</v>
      </c>
      <c r="AJ46" s="75" t="str">
        <f ca="1">IFERROR(__xludf.DUMMYFUNCTION("""COMPUTED_VALUE"""),"Pass")</f>
        <v>Pass</v>
      </c>
      <c r="AK46" s="82">
        <f ca="1">IFERROR(__xludf.DUMMYFUNCTION("""COMPUTED_VALUE"""),1.79999999999999)</f>
        <v>1.7999999999999901</v>
      </c>
      <c r="AL46" s="83">
        <f ca="1">IFERROR(__xludf.DUMMYFUNCTION("""COMPUTED_VALUE"""),3)</f>
        <v>3</v>
      </c>
      <c r="AM46" s="75" t="str">
        <f ca="1">IFERROR(__xludf.DUMMYFUNCTION("""COMPUTED_VALUE"""),"Pass")</f>
        <v>Pass</v>
      </c>
      <c r="AN46" s="82">
        <f ca="1">IFERROR(__xludf.DUMMYFUNCTION("""COMPUTED_VALUE"""),0.923076923076923)</f>
        <v>0.92307692307692302</v>
      </c>
      <c r="AO46" s="83">
        <f ca="1">IFERROR(__xludf.DUMMYFUNCTION("""COMPUTED_VALUE"""),2)</f>
        <v>2</v>
      </c>
      <c r="AP46" s="75" t="str">
        <f ca="1">IFERROR(__xludf.DUMMYFUNCTION("""COMPUTED_VALUE"""),"Station Fail")</f>
        <v>Station Fail</v>
      </c>
      <c r="AQ46" s="82"/>
      <c r="AR46" s="83"/>
      <c r="AS46" s="75"/>
      <c r="AT46" s="82"/>
      <c r="AU46" s="83"/>
      <c r="AV46" s="75"/>
      <c r="AW46" s="82"/>
      <c r="AX46" s="83"/>
      <c r="AY46" s="75"/>
      <c r="AZ46" s="82"/>
      <c r="BA46" s="83"/>
      <c r="BB46" s="75"/>
      <c r="BC46" s="82"/>
      <c r="BD46" s="83"/>
      <c r="BE46" s="75"/>
      <c r="BF46" s="82"/>
      <c r="BG46" s="83"/>
      <c r="BH46" s="75"/>
      <c r="BI46" s="46"/>
    </row>
    <row r="47" spans="1:61" ht="22.5" customHeight="1" x14ac:dyDescent="0.25">
      <c r="A47" s="46"/>
      <c r="B47" s="75"/>
      <c r="C47" s="75"/>
      <c r="D47" s="75"/>
      <c r="E47" s="75" t="str">
        <f ca="1">IFERROR(__xludf.DUMMYFUNCTION("""COMPUTED_VALUE"""),"G04")</f>
        <v>G04</v>
      </c>
      <c r="F47" s="76"/>
      <c r="G47" s="77">
        <f ca="1">IFERROR(__xludf.DUMMYFUNCTION("""COMPUTED_VALUE"""),0)</f>
        <v>0</v>
      </c>
      <c r="H47" s="78">
        <f ca="1">IFERROR(__xludf.DUMMYFUNCTION("""COMPUTED_VALUE"""),10)</f>
        <v>10</v>
      </c>
      <c r="I47" s="79">
        <f ca="1">IFERROR(__xludf.DUMMYFUNCTION("""COMPUTED_VALUE"""),4)</f>
        <v>4</v>
      </c>
      <c r="J47" s="264"/>
      <c r="K47" s="82">
        <f ca="1">IFERROR(__xludf.DUMMYFUNCTION("""COMPUTED_VALUE"""),15.5)</f>
        <v>15.5</v>
      </c>
      <c r="L47" s="81" t="str">
        <f ca="1">IFERROR(__xludf.DUMMYFUNCTION("""COMPUTED_VALUE"""),"Pass")</f>
        <v>Pass</v>
      </c>
      <c r="M47" s="82">
        <f ca="1">IFERROR(__xludf.DUMMYFUNCTION("""COMPUTED_VALUE"""),1.875)</f>
        <v>1.875</v>
      </c>
      <c r="N47" s="83">
        <f ca="1">IFERROR(__xludf.DUMMYFUNCTION("""COMPUTED_VALUE"""),3)</f>
        <v>3</v>
      </c>
      <c r="O47" s="75" t="str">
        <f ca="1">IFERROR(__xludf.DUMMYFUNCTION("""COMPUTED_VALUE"""),"Pass")</f>
        <v>Pass</v>
      </c>
      <c r="P47" s="82">
        <f ca="1">IFERROR(__xludf.DUMMYFUNCTION("""COMPUTED_VALUE"""),1.85806451612903)</f>
        <v>1.8580645161290299</v>
      </c>
      <c r="Q47" s="83">
        <f ca="1">IFERROR(__xludf.DUMMYFUNCTION("""COMPUTED_VALUE"""),3)</f>
        <v>3</v>
      </c>
      <c r="R47" s="75" t="str">
        <f ca="1">IFERROR(__xludf.DUMMYFUNCTION("""COMPUTED_VALUE"""),"Pass")</f>
        <v>Pass</v>
      </c>
      <c r="S47" s="82">
        <f ca="1">IFERROR(__xludf.DUMMYFUNCTION("""COMPUTED_VALUE"""),1.09999999999999)</f>
        <v>1.0999999999999901</v>
      </c>
      <c r="T47" s="83">
        <f ca="1">IFERROR(__xludf.DUMMYFUNCTION("""COMPUTED_VALUE"""),2)</f>
        <v>2</v>
      </c>
      <c r="U47" s="75" t="str">
        <f ca="1">IFERROR(__xludf.DUMMYFUNCTION("""COMPUTED_VALUE"""),"Station Fail")</f>
        <v>Station Fail</v>
      </c>
      <c r="V47" s="82">
        <f ca="1">IFERROR(__xludf.DUMMYFUNCTION("""COMPUTED_VALUE"""),2.4)</f>
        <v>2.4</v>
      </c>
      <c r="W47" s="83">
        <f ca="1">IFERROR(__xludf.DUMMYFUNCTION("""COMPUTED_VALUE"""),5)</f>
        <v>5</v>
      </c>
      <c r="X47" s="75" t="str">
        <f ca="1">IFERROR(__xludf.DUMMYFUNCTION("""COMPUTED_VALUE"""),"Pass")</f>
        <v>Pass</v>
      </c>
      <c r="Y47" s="82">
        <f ca="1">IFERROR(__xludf.DUMMYFUNCTION("""COMPUTED_VALUE"""),1.68)</f>
        <v>1.68</v>
      </c>
      <c r="Z47" s="83">
        <f ca="1">IFERROR(__xludf.DUMMYFUNCTION("""COMPUTED_VALUE"""),4)</f>
        <v>4</v>
      </c>
      <c r="AA47" s="75" t="str">
        <f ca="1">IFERROR(__xludf.DUMMYFUNCTION("""COMPUTED_VALUE"""),"Pass")</f>
        <v>Pass</v>
      </c>
      <c r="AB47" s="82">
        <f ca="1">IFERROR(__xludf.DUMMYFUNCTION("""COMPUTED_VALUE"""),1.2)</f>
        <v>1.2</v>
      </c>
      <c r="AC47" s="83">
        <f ca="1">IFERROR(__xludf.DUMMYFUNCTION("""COMPUTED_VALUE"""),3)</f>
        <v>3</v>
      </c>
      <c r="AD47" s="75" t="str">
        <f ca="1">IFERROR(__xludf.DUMMYFUNCTION("""COMPUTED_VALUE"""),"Station Fail")</f>
        <v>Station Fail</v>
      </c>
      <c r="AE47" s="82">
        <f ca="1">IFERROR(__xludf.DUMMYFUNCTION("""COMPUTED_VALUE"""),1.248)</f>
        <v>1.248</v>
      </c>
      <c r="AF47" s="83">
        <f ca="1">IFERROR(__xludf.DUMMYFUNCTION("""COMPUTED_VALUE"""),2)</f>
        <v>2</v>
      </c>
      <c r="AG47" s="75" t="str">
        <f ca="1">IFERROR(__xludf.DUMMYFUNCTION("""COMPUTED_VALUE"""),"Station Fail")</f>
        <v>Station Fail</v>
      </c>
      <c r="AH47" s="82">
        <f ca="1">IFERROR(__xludf.DUMMYFUNCTION("""COMPUTED_VALUE"""),1.78285714285714)</f>
        <v>1.78285714285714</v>
      </c>
      <c r="AI47" s="83">
        <f ca="1">IFERROR(__xludf.DUMMYFUNCTION("""COMPUTED_VALUE"""),3)</f>
        <v>3</v>
      </c>
      <c r="AJ47" s="75" t="str">
        <f ca="1">IFERROR(__xludf.DUMMYFUNCTION("""COMPUTED_VALUE"""),"Pass")</f>
        <v>Pass</v>
      </c>
      <c r="AK47" s="82">
        <f ca="1">IFERROR(__xludf.DUMMYFUNCTION("""COMPUTED_VALUE"""),2.175)</f>
        <v>2.1749999999999998</v>
      </c>
      <c r="AL47" s="83">
        <f ca="1">IFERROR(__xludf.DUMMYFUNCTION("""COMPUTED_VALUE"""),4)</f>
        <v>4</v>
      </c>
      <c r="AM47" s="75" t="str">
        <f ca="1">IFERROR(__xludf.DUMMYFUNCTION("""COMPUTED_VALUE"""),"Pass")</f>
        <v>Pass</v>
      </c>
      <c r="AN47" s="82">
        <f ca="1">IFERROR(__xludf.DUMMYFUNCTION("""COMPUTED_VALUE"""),0.184615384615384)</f>
        <v>0.18461538461538399</v>
      </c>
      <c r="AO47" s="83">
        <f ca="1">IFERROR(__xludf.DUMMYFUNCTION("""COMPUTED_VALUE"""),1)</f>
        <v>1</v>
      </c>
      <c r="AP47" s="75" t="str">
        <f ca="1">IFERROR(__xludf.DUMMYFUNCTION("""COMPUTED_VALUE"""),"Station Fail")</f>
        <v>Station Fail</v>
      </c>
      <c r="AQ47" s="82"/>
      <c r="AR47" s="83"/>
      <c r="AS47" s="75"/>
      <c r="AT47" s="82"/>
      <c r="AU47" s="83"/>
      <c r="AV47" s="75"/>
      <c r="AW47" s="82"/>
      <c r="AX47" s="83"/>
      <c r="AY47" s="75"/>
      <c r="AZ47" s="82"/>
      <c r="BA47" s="83"/>
      <c r="BB47" s="75"/>
      <c r="BC47" s="82"/>
      <c r="BD47" s="83"/>
      <c r="BE47" s="75"/>
      <c r="BF47" s="82"/>
      <c r="BG47" s="83"/>
      <c r="BH47" s="75"/>
      <c r="BI47" s="46"/>
    </row>
    <row r="48" spans="1:61" ht="22.5" customHeight="1" x14ac:dyDescent="0.25">
      <c r="A48" s="46"/>
      <c r="B48" s="75"/>
      <c r="C48" s="75"/>
      <c r="D48" s="75"/>
      <c r="E48" s="75" t="str">
        <f ca="1">IFERROR(__xludf.DUMMYFUNCTION("""COMPUTED_VALUE"""),"G04")</f>
        <v>G04</v>
      </c>
      <c r="F48" s="76"/>
      <c r="G48" s="77">
        <f ca="1">IFERROR(__xludf.DUMMYFUNCTION("""COMPUTED_VALUE"""),0)</f>
        <v>0</v>
      </c>
      <c r="H48" s="78">
        <f ca="1">IFERROR(__xludf.DUMMYFUNCTION("""COMPUTED_VALUE"""),10)</f>
        <v>10</v>
      </c>
      <c r="I48" s="79">
        <f ca="1">IFERROR(__xludf.DUMMYFUNCTION("""COMPUTED_VALUE"""),3)</f>
        <v>3</v>
      </c>
      <c r="J48" s="264"/>
      <c r="K48" s="82">
        <f ca="1">IFERROR(__xludf.DUMMYFUNCTION("""COMPUTED_VALUE"""),17.26)</f>
        <v>17.260000000000002</v>
      </c>
      <c r="L48" s="81" t="str">
        <f ca="1">IFERROR(__xludf.DUMMYFUNCTION("""COMPUTED_VALUE"""),"Pass")</f>
        <v>Pass</v>
      </c>
      <c r="M48" s="82">
        <f ca="1">IFERROR(__xludf.DUMMYFUNCTION("""COMPUTED_VALUE"""),2.025)</f>
        <v>2.0249999999999999</v>
      </c>
      <c r="N48" s="83">
        <f ca="1">IFERROR(__xludf.DUMMYFUNCTION("""COMPUTED_VALUE"""),4)</f>
        <v>4</v>
      </c>
      <c r="O48" s="75" t="str">
        <f ca="1">IFERROR(__xludf.DUMMYFUNCTION("""COMPUTED_VALUE"""),"Pass")</f>
        <v>Pass</v>
      </c>
      <c r="P48" s="82">
        <f ca="1">IFERROR(__xludf.DUMMYFUNCTION("""COMPUTED_VALUE"""),2.4)</f>
        <v>2.4</v>
      </c>
      <c r="Q48" s="83">
        <f ca="1">IFERROR(__xludf.DUMMYFUNCTION("""COMPUTED_VALUE"""),5)</f>
        <v>5</v>
      </c>
      <c r="R48" s="75" t="str">
        <f ca="1">IFERROR(__xludf.DUMMYFUNCTION("""COMPUTED_VALUE"""),"Pass")</f>
        <v>Pass</v>
      </c>
      <c r="S48" s="82">
        <f ca="1">IFERROR(__xludf.DUMMYFUNCTION("""COMPUTED_VALUE"""),1.79999999999999)</f>
        <v>1.7999999999999901</v>
      </c>
      <c r="T48" s="83">
        <f ca="1">IFERROR(__xludf.DUMMYFUNCTION("""COMPUTED_VALUE"""),3)</f>
        <v>3</v>
      </c>
      <c r="U48" s="75" t="str">
        <f ca="1">IFERROR(__xludf.DUMMYFUNCTION("""COMPUTED_VALUE"""),"Pass")</f>
        <v>Pass</v>
      </c>
      <c r="V48" s="82">
        <f ca="1">IFERROR(__xludf.DUMMYFUNCTION("""COMPUTED_VALUE"""),1.44)</f>
        <v>1.44</v>
      </c>
      <c r="W48" s="83">
        <f ca="1">IFERROR(__xludf.DUMMYFUNCTION("""COMPUTED_VALUE"""),4)</f>
        <v>4</v>
      </c>
      <c r="X48" s="75" t="str">
        <f ca="1">IFERROR(__xludf.DUMMYFUNCTION("""COMPUTED_VALUE"""),"Pass")</f>
        <v>Pass</v>
      </c>
      <c r="Y48" s="82">
        <f ca="1">IFERROR(__xludf.DUMMYFUNCTION("""COMPUTED_VALUE"""),2.04)</f>
        <v>2.04</v>
      </c>
      <c r="Z48" s="83">
        <f ca="1">IFERROR(__xludf.DUMMYFUNCTION("""COMPUTED_VALUE"""),5)</f>
        <v>5</v>
      </c>
      <c r="AA48" s="75" t="str">
        <f ca="1">IFERROR(__xludf.DUMMYFUNCTION("""COMPUTED_VALUE"""),"Pass")</f>
        <v>Pass</v>
      </c>
      <c r="AB48" s="82">
        <f ca="1">IFERROR(__xludf.DUMMYFUNCTION("""COMPUTED_VALUE"""),1.29999999999999)</f>
        <v>1.2999999999999901</v>
      </c>
      <c r="AC48" s="83">
        <f ca="1">IFERROR(__xludf.DUMMYFUNCTION("""COMPUTED_VALUE"""),3)</f>
        <v>3</v>
      </c>
      <c r="AD48" s="75" t="str">
        <f ca="1">IFERROR(__xludf.DUMMYFUNCTION("""COMPUTED_VALUE"""),"Station Fail")</f>
        <v>Station Fail</v>
      </c>
      <c r="AE48" s="82">
        <f ca="1">IFERROR(__xludf.DUMMYFUNCTION("""COMPUTED_VALUE"""),1.82399999999999)</f>
        <v>1.8239999999999901</v>
      </c>
      <c r="AF48" s="83">
        <f ca="1">IFERROR(__xludf.DUMMYFUNCTION("""COMPUTED_VALUE"""),4)</f>
        <v>4</v>
      </c>
      <c r="AG48" s="75" t="str">
        <f ca="1">IFERROR(__xludf.DUMMYFUNCTION("""COMPUTED_VALUE"""),"Pass")</f>
        <v>Pass</v>
      </c>
      <c r="AH48" s="82">
        <f ca="1">IFERROR(__xludf.DUMMYFUNCTION("""COMPUTED_VALUE"""),1.37142857142857)</f>
        <v>1.3714285714285701</v>
      </c>
      <c r="AI48" s="83">
        <f ca="1">IFERROR(__xludf.DUMMYFUNCTION("""COMPUTED_VALUE"""),3)</f>
        <v>3</v>
      </c>
      <c r="AJ48" s="75" t="str">
        <f ca="1">IFERROR(__xludf.DUMMYFUNCTION("""COMPUTED_VALUE"""),"Station Fail")</f>
        <v>Station Fail</v>
      </c>
      <c r="AK48" s="82">
        <f ca="1">IFERROR(__xludf.DUMMYFUNCTION("""COMPUTED_VALUE"""),2.32499999999999)</f>
        <v>2.32499999999999</v>
      </c>
      <c r="AL48" s="83">
        <f ca="1">IFERROR(__xludf.DUMMYFUNCTION("""COMPUTED_VALUE"""),5)</f>
        <v>5</v>
      </c>
      <c r="AM48" s="75" t="str">
        <f ca="1">IFERROR(__xludf.DUMMYFUNCTION("""COMPUTED_VALUE"""),"Pass")</f>
        <v>Pass</v>
      </c>
      <c r="AN48" s="82">
        <f ca="1">IFERROR(__xludf.DUMMYFUNCTION("""COMPUTED_VALUE"""),0.738461538461538)</f>
        <v>0.73846153846153795</v>
      </c>
      <c r="AO48" s="83">
        <f ca="1">IFERROR(__xludf.DUMMYFUNCTION("""COMPUTED_VALUE"""),1)</f>
        <v>1</v>
      </c>
      <c r="AP48" s="75" t="str">
        <f ca="1">IFERROR(__xludf.DUMMYFUNCTION("""COMPUTED_VALUE"""),"Station Fail")</f>
        <v>Station Fail</v>
      </c>
      <c r="AQ48" s="82"/>
      <c r="AR48" s="83"/>
      <c r="AS48" s="75"/>
      <c r="AT48" s="82"/>
      <c r="AU48" s="83"/>
      <c r="AV48" s="75"/>
      <c r="AW48" s="82"/>
      <c r="AX48" s="83"/>
      <c r="AY48" s="75"/>
      <c r="AZ48" s="82"/>
      <c r="BA48" s="83"/>
      <c r="BB48" s="75"/>
      <c r="BC48" s="82"/>
      <c r="BD48" s="83"/>
      <c r="BE48" s="75"/>
      <c r="BF48" s="82"/>
      <c r="BG48" s="83"/>
      <c r="BH48" s="75"/>
      <c r="BI48" s="46"/>
    </row>
    <row r="49" spans="1:61" ht="22.5" customHeight="1" x14ac:dyDescent="0.25">
      <c r="A49" s="46"/>
      <c r="B49" s="75"/>
      <c r="C49" s="75"/>
      <c r="D49" s="75"/>
      <c r="E49" s="75" t="str">
        <f ca="1">IFERROR(__xludf.DUMMYFUNCTION("""COMPUTED_VALUE"""),"G05")</f>
        <v>G05</v>
      </c>
      <c r="F49" s="76"/>
      <c r="G49" s="77">
        <f ca="1">IFERROR(__xludf.DUMMYFUNCTION("""COMPUTED_VALUE"""),0)</f>
        <v>0</v>
      </c>
      <c r="H49" s="78">
        <f ca="1">IFERROR(__xludf.DUMMYFUNCTION("""COMPUTED_VALUE"""),10)</f>
        <v>10</v>
      </c>
      <c r="I49" s="79">
        <f ca="1">IFERROR(__xludf.DUMMYFUNCTION("""COMPUTED_VALUE"""),0)</f>
        <v>0</v>
      </c>
      <c r="J49" s="264"/>
      <c r="K49" s="82">
        <f ca="1">IFERROR(__xludf.DUMMYFUNCTION("""COMPUTED_VALUE"""),20.5)</f>
        <v>20.5</v>
      </c>
      <c r="L49" s="81" t="str">
        <f ca="1">IFERROR(__xludf.DUMMYFUNCTION("""COMPUTED_VALUE"""),"Pass")</f>
        <v>Pass</v>
      </c>
      <c r="M49" s="82">
        <f ca="1">IFERROR(__xludf.DUMMYFUNCTION("""COMPUTED_VALUE"""),1.65)</f>
        <v>1.65</v>
      </c>
      <c r="N49" s="83">
        <f ca="1">IFERROR(__xludf.DUMMYFUNCTION("""COMPUTED_VALUE"""),4)</f>
        <v>4</v>
      </c>
      <c r="O49" s="75" t="str">
        <f ca="1">IFERROR(__xludf.DUMMYFUNCTION("""COMPUTED_VALUE"""),"Pass")</f>
        <v>Pass</v>
      </c>
      <c r="P49" s="82">
        <f ca="1">IFERROR(__xludf.DUMMYFUNCTION("""COMPUTED_VALUE"""),2.4)</f>
        <v>2.4</v>
      </c>
      <c r="Q49" s="83">
        <f ca="1">IFERROR(__xludf.DUMMYFUNCTION("""COMPUTED_VALUE"""),5)</f>
        <v>5</v>
      </c>
      <c r="R49" s="75" t="str">
        <f ca="1">IFERROR(__xludf.DUMMYFUNCTION("""COMPUTED_VALUE"""),"Pass")</f>
        <v>Pass</v>
      </c>
      <c r="S49" s="82">
        <f ca="1">IFERROR(__xludf.DUMMYFUNCTION("""COMPUTED_VALUE"""),2.1)</f>
        <v>2.1</v>
      </c>
      <c r="T49" s="83">
        <f ca="1">IFERROR(__xludf.DUMMYFUNCTION("""COMPUTED_VALUE"""),4)</f>
        <v>4</v>
      </c>
      <c r="U49" s="75" t="str">
        <f ca="1">IFERROR(__xludf.DUMMYFUNCTION("""COMPUTED_VALUE"""),"Pass")</f>
        <v>Pass</v>
      </c>
      <c r="V49" s="82">
        <f ca="1">IFERROR(__xludf.DUMMYFUNCTION("""COMPUTED_VALUE"""),2.4)</f>
        <v>2.4</v>
      </c>
      <c r="W49" s="83">
        <f ca="1">IFERROR(__xludf.DUMMYFUNCTION("""COMPUTED_VALUE"""),5)</f>
        <v>5</v>
      </c>
      <c r="X49" s="75" t="str">
        <f ca="1">IFERROR(__xludf.DUMMYFUNCTION("""COMPUTED_VALUE"""),"Pass")</f>
        <v>Pass</v>
      </c>
      <c r="Y49" s="82">
        <f ca="1">IFERROR(__xludf.DUMMYFUNCTION("""COMPUTED_VALUE"""),2.28)</f>
        <v>2.2799999999999998</v>
      </c>
      <c r="Z49" s="83">
        <f ca="1">IFERROR(__xludf.DUMMYFUNCTION("""COMPUTED_VALUE"""),5)</f>
        <v>5</v>
      </c>
      <c r="AA49" s="75" t="str">
        <f ca="1">IFERROR(__xludf.DUMMYFUNCTION("""COMPUTED_VALUE"""),"Pass")</f>
        <v>Pass</v>
      </c>
      <c r="AB49" s="82">
        <f ca="1">IFERROR(__xludf.DUMMYFUNCTION("""COMPUTED_VALUE"""),2.1)</f>
        <v>2.1</v>
      </c>
      <c r="AC49" s="83">
        <f ca="1">IFERROR(__xludf.DUMMYFUNCTION("""COMPUTED_VALUE"""),4)</f>
        <v>4</v>
      </c>
      <c r="AD49" s="75" t="str">
        <f ca="1">IFERROR(__xludf.DUMMYFUNCTION("""COMPUTED_VALUE"""),"Pass")</f>
        <v>Pass</v>
      </c>
      <c r="AE49" s="82">
        <f ca="1">IFERROR(__xludf.DUMMYFUNCTION("""COMPUTED_VALUE"""),2.016)</f>
        <v>2.016</v>
      </c>
      <c r="AF49" s="83">
        <f ca="1">IFERROR(__xludf.DUMMYFUNCTION("""COMPUTED_VALUE"""),5)</f>
        <v>5</v>
      </c>
      <c r="AG49" s="75" t="str">
        <f ca="1">IFERROR(__xludf.DUMMYFUNCTION("""COMPUTED_VALUE"""),"Pass")</f>
        <v>Pass</v>
      </c>
      <c r="AH49" s="82">
        <f ca="1">IFERROR(__xludf.DUMMYFUNCTION("""COMPUTED_VALUE"""),1.71428571428571)</f>
        <v>1.71428571428571</v>
      </c>
      <c r="AI49" s="83">
        <f ca="1">IFERROR(__xludf.DUMMYFUNCTION("""COMPUTED_VALUE"""),3)</f>
        <v>3</v>
      </c>
      <c r="AJ49" s="75" t="str">
        <f ca="1">IFERROR(__xludf.DUMMYFUNCTION("""COMPUTED_VALUE"""),"Pass")</f>
        <v>Pass</v>
      </c>
      <c r="AK49" s="82">
        <f ca="1">IFERROR(__xludf.DUMMYFUNCTION("""COMPUTED_VALUE"""),2.175)</f>
        <v>2.1749999999999998</v>
      </c>
      <c r="AL49" s="83">
        <f ca="1">IFERROR(__xludf.DUMMYFUNCTION("""COMPUTED_VALUE"""),4)</f>
        <v>4</v>
      </c>
      <c r="AM49" s="75" t="str">
        <f ca="1">IFERROR(__xludf.DUMMYFUNCTION("""COMPUTED_VALUE"""),"Pass")</f>
        <v>Pass</v>
      </c>
      <c r="AN49" s="82">
        <f ca="1">IFERROR(__xludf.DUMMYFUNCTION("""COMPUTED_VALUE"""),1.66153846153846)</f>
        <v>1.6615384615384601</v>
      </c>
      <c r="AO49" s="83">
        <f ca="1">IFERROR(__xludf.DUMMYFUNCTION("""COMPUTED_VALUE"""),3)</f>
        <v>3</v>
      </c>
      <c r="AP49" s="75" t="str">
        <f ca="1">IFERROR(__xludf.DUMMYFUNCTION("""COMPUTED_VALUE"""),"Pass")</f>
        <v>Pass</v>
      </c>
      <c r="AQ49" s="82"/>
      <c r="AR49" s="83"/>
      <c r="AS49" s="75"/>
      <c r="AT49" s="82"/>
      <c r="AU49" s="83"/>
      <c r="AV49" s="75"/>
      <c r="AW49" s="82"/>
      <c r="AX49" s="83"/>
      <c r="AY49" s="75"/>
      <c r="AZ49" s="82"/>
      <c r="BA49" s="83"/>
      <c r="BB49" s="75"/>
      <c r="BC49" s="82"/>
      <c r="BD49" s="83"/>
      <c r="BE49" s="75"/>
      <c r="BF49" s="82"/>
      <c r="BG49" s="83"/>
      <c r="BH49" s="75"/>
      <c r="BI49" s="46"/>
    </row>
    <row r="50" spans="1:61" ht="22.5" customHeight="1" x14ac:dyDescent="0.25">
      <c r="A50" s="46"/>
      <c r="B50" s="75"/>
      <c r="C50" s="75"/>
      <c r="D50" s="75"/>
      <c r="E50" s="75" t="str">
        <f ca="1">IFERROR(__xludf.DUMMYFUNCTION("""COMPUTED_VALUE"""),"G05")</f>
        <v>G05</v>
      </c>
      <c r="F50" s="76"/>
      <c r="G50" s="77">
        <f ca="1">IFERROR(__xludf.DUMMYFUNCTION("""COMPUTED_VALUE"""),0)</f>
        <v>0</v>
      </c>
      <c r="H50" s="78">
        <f ca="1">IFERROR(__xludf.DUMMYFUNCTION("""COMPUTED_VALUE"""),10)</f>
        <v>10</v>
      </c>
      <c r="I50" s="79">
        <f ca="1">IFERROR(__xludf.DUMMYFUNCTION("""COMPUTED_VALUE"""),1)</f>
        <v>1</v>
      </c>
      <c r="J50" s="264"/>
      <c r="K50" s="82">
        <f ca="1">IFERROR(__xludf.DUMMYFUNCTION("""COMPUTED_VALUE"""),18.03)</f>
        <v>18.03</v>
      </c>
      <c r="L50" s="81" t="str">
        <f ca="1">IFERROR(__xludf.DUMMYFUNCTION("""COMPUTED_VALUE"""),"Pass")</f>
        <v>Pass</v>
      </c>
      <c r="M50" s="82">
        <f ca="1">IFERROR(__xludf.DUMMYFUNCTION("""COMPUTED_VALUE"""),1.65)</f>
        <v>1.65</v>
      </c>
      <c r="N50" s="83">
        <f ca="1">IFERROR(__xludf.DUMMYFUNCTION("""COMPUTED_VALUE"""),3)</f>
        <v>3</v>
      </c>
      <c r="O50" s="75" t="str">
        <f ca="1">IFERROR(__xludf.DUMMYFUNCTION("""COMPUTED_VALUE"""),"Pass")</f>
        <v>Pass</v>
      </c>
      <c r="P50" s="82">
        <f ca="1">IFERROR(__xludf.DUMMYFUNCTION("""COMPUTED_VALUE"""),2.32258064516129)</f>
        <v>2.32258064516129</v>
      </c>
      <c r="Q50" s="83">
        <f ca="1">IFERROR(__xludf.DUMMYFUNCTION("""COMPUTED_VALUE"""),5)</f>
        <v>5</v>
      </c>
      <c r="R50" s="75" t="str">
        <f ca="1">IFERROR(__xludf.DUMMYFUNCTION("""COMPUTED_VALUE"""),"Pass")</f>
        <v>Pass</v>
      </c>
      <c r="S50" s="82">
        <f ca="1">IFERROR(__xludf.DUMMYFUNCTION("""COMPUTED_VALUE"""),2.19999999999999)</f>
        <v>2.19999999999999</v>
      </c>
      <c r="T50" s="83">
        <f ca="1">IFERROR(__xludf.DUMMYFUNCTION("""COMPUTED_VALUE"""),4)</f>
        <v>4</v>
      </c>
      <c r="U50" s="75" t="str">
        <f ca="1">IFERROR(__xludf.DUMMYFUNCTION("""COMPUTED_VALUE"""),"Pass")</f>
        <v>Pass</v>
      </c>
      <c r="V50" s="82">
        <f ca="1">IFERROR(__xludf.DUMMYFUNCTION("""COMPUTED_VALUE"""),2.04)</f>
        <v>2.04</v>
      </c>
      <c r="W50" s="83">
        <f ca="1">IFERROR(__xludf.DUMMYFUNCTION("""COMPUTED_VALUE"""),3)</f>
        <v>3</v>
      </c>
      <c r="X50" s="75" t="str">
        <f ca="1">IFERROR(__xludf.DUMMYFUNCTION("""COMPUTED_VALUE"""),"Pass")</f>
        <v>Pass</v>
      </c>
      <c r="Y50" s="82">
        <f ca="1">IFERROR(__xludf.DUMMYFUNCTION("""COMPUTED_VALUE"""),2.04)</f>
        <v>2.04</v>
      </c>
      <c r="Z50" s="83">
        <f ca="1">IFERROR(__xludf.DUMMYFUNCTION("""COMPUTED_VALUE"""),4)</f>
        <v>4</v>
      </c>
      <c r="AA50" s="75" t="str">
        <f ca="1">IFERROR(__xludf.DUMMYFUNCTION("""COMPUTED_VALUE"""),"Pass")</f>
        <v>Pass</v>
      </c>
      <c r="AB50" s="82">
        <f ca="1">IFERROR(__xludf.DUMMYFUNCTION("""COMPUTED_VALUE"""),1.79999999999999)</f>
        <v>1.7999999999999901</v>
      </c>
      <c r="AC50" s="83">
        <f ca="1">IFERROR(__xludf.DUMMYFUNCTION("""COMPUTED_VALUE"""),4)</f>
        <v>4</v>
      </c>
      <c r="AD50" s="75" t="str">
        <f ca="1">IFERROR(__xludf.DUMMYFUNCTION("""COMPUTED_VALUE"""),"Pass")</f>
        <v>Pass</v>
      </c>
      <c r="AE50" s="82">
        <f ca="1">IFERROR(__xludf.DUMMYFUNCTION("""COMPUTED_VALUE"""),1.92)</f>
        <v>1.92</v>
      </c>
      <c r="AF50" s="83">
        <f ca="1">IFERROR(__xludf.DUMMYFUNCTION("""COMPUTED_VALUE"""),4)</f>
        <v>4</v>
      </c>
      <c r="AG50" s="75" t="str">
        <f ca="1">IFERROR(__xludf.DUMMYFUNCTION("""COMPUTED_VALUE"""),"Pass")</f>
        <v>Pass</v>
      </c>
      <c r="AH50" s="82">
        <f ca="1">IFERROR(__xludf.DUMMYFUNCTION("""COMPUTED_VALUE"""),1.44)</f>
        <v>1.44</v>
      </c>
      <c r="AI50" s="83">
        <f ca="1">IFERROR(__xludf.DUMMYFUNCTION("""COMPUTED_VALUE"""),3)</f>
        <v>3</v>
      </c>
      <c r="AJ50" s="75" t="str">
        <f ca="1">IFERROR(__xludf.DUMMYFUNCTION("""COMPUTED_VALUE"""),"Pass")</f>
        <v>Pass</v>
      </c>
      <c r="AK50" s="82">
        <f ca="1">IFERROR(__xludf.DUMMYFUNCTION("""COMPUTED_VALUE"""),1.875)</f>
        <v>1.875</v>
      </c>
      <c r="AL50" s="83">
        <f ca="1">IFERROR(__xludf.DUMMYFUNCTION("""COMPUTED_VALUE"""),3)</f>
        <v>3</v>
      </c>
      <c r="AM50" s="75" t="str">
        <f ca="1">IFERROR(__xludf.DUMMYFUNCTION("""COMPUTED_VALUE"""),"Pass")</f>
        <v>Pass</v>
      </c>
      <c r="AN50" s="82">
        <f ca="1">IFERROR(__xludf.DUMMYFUNCTION("""COMPUTED_VALUE"""),0.738461538461538)</f>
        <v>0.73846153846153795</v>
      </c>
      <c r="AO50" s="83">
        <f ca="1">IFERROR(__xludf.DUMMYFUNCTION("""COMPUTED_VALUE"""),1)</f>
        <v>1</v>
      </c>
      <c r="AP50" s="75" t="str">
        <f ca="1">IFERROR(__xludf.DUMMYFUNCTION("""COMPUTED_VALUE"""),"Station Fail")</f>
        <v>Station Fail</v>
      </c>
      <c r="AQ50" s="82"/>
      <c r="AR50" s="83"/>
      <c r="AS50" s="75"/>
      <c r="AT50" s="82"/>
      <c r="AU50" s="83"/>
      <c r="AV50" s="75"/>
      <c r="AW50" s="82"/>
      <c r="AX50" s="83"/>
      <c r="AY50" s="75"/>
      <c r="AZ50" s="82"/>
      <c r="BA50" s="83"/>
      <c r="BB50" s="75"/>
      <c r="BC50" s="82"/>
      <c r="BD50" s="83"/>
      <c r="BE50" s="75"/>
      <c r="BF50" s="82"/>
      <c r="BG50" s="83"/>
      <c r="BH50" s="75"/>
      <c r="BI50" s="46"/>
    </row>
    <row r="51" spans="1:61" ht="22.5" customHeight="1" x14ac:dyDescent="0.25">
      <c r="A51" s="46"/>
      <c r="B51" s="75"/>
      <c r="C51" s="75"/>
      <c r="D51" s="75"/>
      <c r="E51" s="75" t="str">
        <f ca="1">IFERROR(__xludf.DUMMYFUNCTION("""COMPUTED_VALUE"""),"G05")</f>
        <v>G05</v>
      </c>
      <c r="F51" s="76"/>
      <c r="G51" s="77">
        <f ca="1">IFERROR(__xludf.DUMMYFUNCTION("""COMPUTED_VALUE"""),0)</f>
        <v>0</v>
      </c>
      <c r="H51" s="78">
        <f ca="1">IFERROR(__xludf.DUMMYFUNCTION("""COMPUTED_VALUE"""),10)</f>
        <v>10</v>
      </c>
      <c r="I51" s="79">
        <f ca="1">IFERROR(__xludf.DUMMYFUNCTION("""COMPUTED_VALUE"""),4)</f>
        <v>4</v>
      </c>
      <c r="J51" s="264"/>
      <c r="K51" s="82">
        <f ca="1">IFERROR(__xludf.DUMMYFUNCTION("""COMPUTED_VALUE"""),15.06)</f>
        <v>15.06</v>
      </c>
      <c r="L51" s="81" t="str">
        <f ca="1">IFERROR(__xludf.DUMMYFUNCTION("""COMPUTED_VALUE"""),"Pass")</f>
        <v>Pass</v>
      </c>
      <c r="M51" s="82">
        <f ca="1">IFERROR(__xludf.DUMMYFUNCTION("""COMPUTED_VALUE"""),1.2)</f>
        <v>1.2</v>
      </c>
      <c r="N51" s="83">
        <f ca="1">IFERROR(__xludf.DUMMYFUNCTION("""COMPUTED_VALUE"""),2)</f>
        <v>2</v>
      </c>
      <c r="O51" s="75" t="str">
        <f ca="1">IFERROR(__xludf.DUMMYFUNCTION("""COMPUTED_VALUE"""),"Station Fail")</f>
        <v>Station Fail</v>
      </c>
      <c r="P51" s="82">
        <f ca="1">IFERROR(__xludf.DUMMYFUNCTION("""COMPUTED_VALUE"""),1.70322580645161)</f>
        <v>1.7032258064516099</v>
      </c>
      <c r="Q51" s="83">
        <f ca="1">IFERROR(__xludf.DUMMYFUNCTION("""COMPUTED_VALUE"""),4)</f>
        <v>4</v>
      </c>
      <c r="R51" s="75" t="str">
        <f ca="1">IFERROR(__xludf.DUMMYFUNCTION("""COMPUTED_VALUE"""),"Pass")</f>
        <v>Pass</v>
      </c>
      <c r="S51" s="82">
        <f ca="1">IFERROR(__xludf.DUMMYFUNCTION("""COMPUTED_VALUE"""),1.2)</f>
        <v>1.2</v>
      </c>
      <c r="T51" s="83">
        <f ca="1">IFERROR(__xludf.DUMMYFUNCTION("""COMPUTED_VALUE"""),1)</f>
        <v>1</v>
      </c>
      <c r="U51" s="75" t="str">
        <f ca="1">IFERROR(__xludf.DUMMYFUNCTION("""COMPUTED_VALUE"""),"Station Fail")</f>
        <v>Station Fail</v>
      </c>
      <c r="V51" s="82">
        <f ca="1">IFERROR(__xludf.DUMMYFUNCTION("""COMPUTED_VALUE"""),2.04)</f>
        <v>2.04</v>
      </c>
      <c r="W51" s="83">
        <f ca="1">IFERROR(__xludf.DUMMYFUNCTION("""COMPUTED_VALUE"""),4)</f>
        <v>4</v>
      </c>
      <c r="X51" s="75" t="str">
        <f ca="1">IFERROR(__xludf.DUMMYFUNCTION("""COMPUTED_VALUE"""),"Pass")</f>
        <v>Pass</v>
      </c>
      <c r="Y51" s="82">
        <f ca="1">IFERROR(__xludf.DUMMYFUNCTION("""COMPUTED_VALUE"""),1.56)</f>
        <v>1.56</v>
      </c>
      <c r="Z51" s="83">
        <f ca="1">IFERROR(__xludf.DUMMYFUNCTION("""COMPUTED_VALUE"""),3)</f>
        <v>3</v>
      </c>
      <c r="AA51" s="75" t="str">
        <f ca="1">IFERROR(__xludf.DUMMYFUNCTION("""COMPUTED_VALUE"""),"Pass")</f>
        <v>Pass</v>
      </c>
      <c r="AB51" s="82">
        <f ca="1">IFERROR(__xludf.DUMMYFUNCTION("""COMPUTED_VALUE"""),1.4)</f>
        <v>1.4</v>
      </c>
      <c r="AC51" s="83">
        <f ca="1">IFERROR(__xludf.DUMMYFUNCTION("""COMPUTED_VALUE"""),3)</f>
        <v>3</v>
      </c>
      <c r="AD51" s="75" t="str">
        <f ca="1">IFERROR(__xludf.DUMMYFUNCTION("""COMPUTED_VALUE"""),"Station Fail")</f>
        <v>Station Fail</v>
      </c>
      <c r="AE51" s="82">
        <f ca="1">IFERROR(__xludf.DUMMYFUNCTION("""COMPUTED_VALUE"""),1.82399999999999)</f>
        <v>1.8239999999999901</v>
      </c>
      <c r="AF51" s="83">
        <f ca="1">IFERROR(__xludf.DUMMYFUNCTION("""COMPUTED_VALUE"""),4)</f>
        <v>4</v>
      </c>
      <c r="AG51" s="75" t="str">
        <f ca="1">IFERROR(__xludf.DUMMYFUNCTION("""COMPUTED_VALUE"""),"Pass")</f>
        <v>Pass</v>
      </c>
      <c r="AH51" s="82">
        <f ca="1">IFERROR(__xludf.DUMMYFUNCTION("""COMPUTED_VALUE"""),1.44)</f>
        <v>1.44</v>
      </c>
      <c r="AI51" s="83">
        <f ca="1">IFERROR(__xludf.DUMMYFUNCTION("""COMPUTED_VALUE"""),3)</f>
        <v>3</v>
      </c>
      <c r="AJ51" s="75" t="str">
        <f ca="1">IFERROR(__xludf.DUMMYFUNCTION("""COMPUTED_VALUE"""),"Pass")</f>
        <v>Pass</v>
      </c>
      <c r="AK51" s="82">
        <f ca="1">IFERROR(__xludf.DUMMYFUNCTION("""COMPUTED_VALUE"""),2.32499999999999)</f>
        <v>2.32499999999999</v>
      </c>
      <c r="AL51" s="83">
        <f ca="1">IFERROR(__xludf.DUMMYFUNCTION("""COMPUTED_VALUE"""),5)</f>
        <v>5</v>
      </c>
      <c r="AM51" s="75" t="str">
        <f ca="1">IFERROR(__xludf.DUMMYFUNCTION("""COMPUTED_VALUE"""),"Pass")</f>
        <v>Pass</v>
      </c>
      <c r="AN51" s="82">
        <f ca="1">IFERROR(__xludf.DUMMYFUNCTION("""COMPUTED_VALUE"""),0.369230769230769)</f>
        <v>0.36923076923076897</v>
      </c>
      <c r="AO51" s="83">
        <f ca="1">IFERROR(__xludf.DUMMYFUNCTION("""COMPUTED_VALUE"""),1)</f>
        <v>1</v>
      </c>
      <c r="AP51" s="75" t="str">
        <f ca="1">IFERROR(__xludf.DUMMYFUNCTION("""COMPUTED_VALUE"""),"Station Fail")</f>
        <v>Station Fail</v>
      </c>
      <c r="AQ51" s="82"/>
      <c r="AR51" s="83"/>
      <c r="AS51" s="75"/>
      <c r="AT51" s="82"/>
      <c r="AU51" s="83"/>
      <c r="AV51" s="75"/>
      <c r="AW51" s="82"/>
      <c r="AX51" s="83"/>
      <c r="AY51" s="75"/>
      <c r="AZ51" s="82"/>
      <c r="BA51" s="83"/>
      <c r="BB51" s="75"/>
      <c r="BC51" s="82"/>
      <c r="BD51" s="83"/>
      <c r="BE51" s="75"/>
      <c r="BF51" s="82"/>
      <c r="BG51" s="83"/>
      <c r="BH51" s="75"/>
      <c r="BI51" s="46"/>
    </row>
    <row r="52" spans="1:61" ht="22.5" customHeight="1" x14ac:dyDescent="0.25">
      <c r="A52" s="46"/>
      <c r="B52" s="75"/>
      <c r="C52" s="75"/>
      <c r="D52" s="75"/>
      <c r="E52" s="75" t="str">
        <f ca="1">IFERROR(__xludf.DUMMYFUNCTION("""COMPUTED_VALUE"""),"G05")</f>
        <v>G05</v>
      </c>
      <c r="F52" s="76"/>
      <c r="G52" s="77">
        <f ca="1">IFERROR(__xludf.DUMMYFUNCTION("""COMPUTED_VALUE"""),0)</f>
        <v>0</v>
      </c>
      <c r="H52" s="78">
        <f ca="1">IFERROR(__xludf.DUMMYFUNCTION("""COMPUTED_VALUE"""),10)</f>
        <v>10</v>
      </c>
      <c r="I52" s="79">
        <f ca="1">IFERROR(__xludf.DUMMYFUNCTION("""COMPUTED_VALUE"""),1)</f>
        <v>1</v>
      </c>
      <c r="J52" s="264"/>
      <c r="K52" s="82">
        <f ca="1">IFERROR(__xludf.DUMMYFUNCTION("""COMPUTED_VALUE"""),19.1)</f>
        <v>19.100000000000001</v>
      </c>
      <c r="L52" s="81" t="str">
        <f ca="1">IFERROR(__xludf.DUMMYFUNCTION("""COMPUTED_VALUE"""),"Pass")</f>
        <v>Pass</v>
      </c>
      <c r="M52" s="82">
        <f ca="1">IFERROR(__xludf.DUMMYFUNCTION("""COMPUTED_VALUE"""),2.025)</f>
        <v>2.0249999999999999</v>
      </c>
      <c r="N52" s="83">
        <f ca="1">IFERROR(__xludf.DUMMYFUNCTION("""COMPUTED_VALUE"""),4)</f>
        <v>4</v>
      </c>
      <c r="O52" s="75" t="str">
        <f ca="1">IFERROR(__xludf.DUMMYFUNCTION("""COMPUTED_VALUE"""),"Pass")</f>
        <v>Pass</v>
      </c>
      <c r="P52" s="82">
        <f ca="1">IFERROR(__xludf.DUMMYFUNCTION("""COMPUTED_VALUE"""),2.4)</f>
        <v>2.4</v>
      </c>
      <c r="Q52" s="83">
        <f ca="1">IFERROR(__xludf.DUMMYFUNCTION("""COMPUTED_VALUE"""),5)</f>
        <v>5</v>
      </c>
      <c r="R52" s="75" t="str">
        <f ca="1">IFERROR(__xludf.DUMMYFUNCTION("""COMPUTED_VALUE"""),"Pass")</f>
        <v>Pass</v>
      </c>
      <c r="S52" s="82">
        <f ca="1">IFERROR(__xludf.DUMMYFUNCTION("""COMPUTED_VALUE"""),2)</f>
        <v>2</v>
      </c>
      <c r="T52" s="83">
        <f ca="1">IFERROR(__xludf.DUMMYFUNCTION("""COMPUTED_VALUE"""),4)</f>
        <v>4</v>
      </c>
      <c r="U52" s="75" t="str">
        <f ca="1">IFERROR(__xludf.DUMMYFUNCTION("""COMPUTED_VALUE"""),"Pass")</f>
        <v>Pass</v>
      </c>
      <c r="V52" s="82">
        <f ca="1">IFERROR(__xludf.DUMMYFUNCTION("""COMPUTED_VALUE"""),1.44)</f>
        <v>1.44</v>
      </c>
      <c r="W52" s="83">
        <f ca="1">IFERROR(__xludf.DUMMYFUNCTION("""COMPUTED_VALUE"""),4)</f>
        <v>4</v>
      </c>
      <c r="X52" s="75" t="str">
        <f ca="1">IFERROR(__xludf.DUMMYFUNCTION("""COMPUTED_VALUE"""),"Pass")</f>
        <v>Pass</v>
      </c>
      <c r="Y52" s="82">
        <f ca="1">IFERROR(__xludf.DUMMYFUNCTION("""COMPUTED_VALUE"""),2.16)</f>
        <v>2.16</v>
      </c>
      <c r="Z52" s="83">
        <f ca="1">IFERROR(__xludf.DUMMYFUNCTION("""COMPUTED_VALUE"""),5)</f>
        <v>5</v>
      </c>
      <c r="AA52" s="75" t="str">
        <f ca="1">IFERROR(__xludf.DUMMYFUNCTION("""COMPUTED_VALUE"""),"Pass")</f>
        <v>Pass</v>
      </c>
      <c r="AB52" s="82">
        <f ca="1">IFERROR(__xludf.DUMMYFUNCTION("""COMPUTED_VALUE"""),1.79999999999999)</f>
        <v>1.7999999999999901</v>
      </c>
      <c r="AC52" s="83">
        <f ca="1">IFERROR(__xludf.DUMMYFUNCTION("""COMPUTED_VALUE"""),4)</f>
        <v>4</v>
      </c>
      <c r="AD52" s="75" t="str">
        <f ca="1">IFERROR(__xludf.DUMMYFUNCTION("""COMPUTED_VALUE"""),"Pass")</f>
        <v>Pass</v>
      </c>
      <c r="AE52" s="82">
        <f ca="1">IFERROR(__xludf.DUMMYFUNCTION("""COMPUTED_VALUE"""),2.208)</f>
        <v>2.2080000000000002</v>
      </c>
      <c r="AF52" s="83">
        <f ca="1">IFERROR(__xludf.DUMMYFUNCTION("""COMPUTED_VALUE"""),5)</f>
        <v>5</v>
      </c>
      <c r="AG52" s="75" t="str">
        <f ca="1">IFERROR(__xludf.DUMMYFUNCTION("""COMPUTED_VALUE"""),"Pass")</f>
        <v>Pass</v>
      </c>
      <c r="AH52" s="82">
        <f ca="1">IFERROR(__xludf.DUMMYFUNCTION("""COMPUTED_VALUE"""),1.30285714285714)</f>
        <v>1.30285714285714</v>
      </c>
      <c r="AI52" s="83">
        <f ca="1">IFERROR(__xludf.DUMMYFUNCTION("""COMPUTED_VALUE"""),4)</f>
        <v>4</v>
      </c>
      <c r="AJ52" s="75" t="str">
        <f ca="1">IFERROR(__xludf.DUMMYFUNCTION("""COMPUTED_VALUE"""),"Station Fail")</f>
        <v>Station Fail</v>
      </c>
      <c r="AK52" s="82">
        <f ca="1">IFERROR(__xludf.DUMMYFUNCTION("""COMPUTED_VALUE"""),2.1)</f>
        <v>2.1</v>
      </c>
      <c r="AL52" s="83">
        <f ca="1">IFERROR(__xludf.DUMMYFUNCTION("""COMPUTED_VALUE"""),4)</f>
        <v>4</v>
      </c>
      <c r="AM52" s="75" t="str">
        <f ca="1">IFERROR(__xludf.DUMMYFUNCTION("""COMPUTED_VALUE"""),"Pass")</f>
        <v>Pass</v>
      </c>
      <c r="AN52" s="82">
        <f ca="1">IFERROR(__xludf.DUMMYFUNCTION("""COMPUTED_VALUE"""),1.66153846153846)</f>
        <v>1.6615384615384601</v>
      </c>
      <c r="AO52" s="83">
        <f ca="1">IFERROR(__xludf.DUMMYFUNCTION("""COMPUTED_VALUE"""),3)</f>
        <v>3</v>
      </c>
      <c r="AP52" s="75" t="str">
        <f ca="1">IFERROR(__xludf.DUMMYFUNCTION("""COMPUTED_VALUE"""),"Pass")</f>
        <v>Pass</v>
      </c>
      <c r="AQ52" s="82"/>
      <c r="AR52" s="83"/>
      <c r="AS52" s="75"/>
      <c r="AT52" s="82"/>
      <c r="AU52" s="83"/>
      <c r="AV52" s="75"/>
      <c r="AW52" s="82"/>
      <c r="AX52" s="83"/>
      <c r="AY52" s="75"/>
      <c r="AZ52" s="82"/>
      <c r="BA52" s="83"/>
      <c r="BB52" s="75"/>
      <c r="BC52" s="82"/>
      <c r="BD52" s="83"/>
      <c r="BE52" s="75"/>
      <c r="BF52" s="82"/>
      <c r="BG52" s="83"/>
      <c r="BH52" s="75"/>
      <c r="BI52" s="46"/>
    </row>
    <row r="53" spans="1:61" ht="22.5" customHeight="1" x14ac:dyDescent="0.25">
      <c r="A53" s="46"/>
      <c r="B53" s="75"/>
      <c r="C53" s="75"/>
      <c r="D53" s="75"/>
      <c r="E53" s="75" t="str">
        <f ca="1">IFERROR(__xludf.DUMMYFUNCTION("""COMPUTED_VALUE"""),"G05")</f>
        <v>G05</v>
      </c>
      <c r="F53" s="76"/>
      <c r="G53" s="77">
        <f ca="1">IFERROR(__xludf.DUMMYFUNCTION("""COMPUTED_VALUE"""),0)</f>
        <v>0</v>
      </c>
      <c r="H53" s="78">
        <f ca="1">IFERROR(__xludf.DUMMYFUNCTION("""COMPUTED_VALUE"""),10)</f>
        <v>10</v>
      </c>
      <c r="I53" s="79">
        <f ca="1">IFERROR(__xludf.DUMMYFUNCTION("""COMPUTED_VALUE"""),4)</f>
        <v>4</v>
      </c>
      <c r="J53" s="264"/>
      <c r="K53" s="82">
        <f ca="1">IFERROR(__xludf.DUMMYFUNCTION("""COMPUTED_VALUE"""),13.55)</f>
        <v>13.55</v>
      </c>
      <c r="L53" s="81" t="str">
        <f ca="1">IFERROR(__xludf.DUMMYFUNCTION("""COMPUTED_VALUE"""),"Fail")</f>
        <v>Fail</v>
      </c>
      <c r="M53" s="82">
        <f ca="1">IFERROR(__xludf.DUMMYFUNCTION("""COMPUTED_VALUE"""),1.79999999999999)</f>
        <v>1.7999999999999901</v>
      </c>
      <c r="N53" s="83">
        <f ca="1">IFERROR(__xludf.DUMMYFUNCTION("""COMPUTED_VALUE"""),3)</f>
        <v>3</v>
      </c>
      <c r="O53" s="75" t="str">
        <f ca="1">IFERROR(__xludf.DUMMYFUNCTION("""COMPUTED_VALUE"""),"Pass")</f>
        <v>Pass</v>
      </c>
      <c r="P53" s="82">
        <f ca="1">IFERROR(__xludf.DUMMYFUNCTION("""COMPUTED_VALUE"""),1.70322580645161)</f>
        <v>1.7032258064516099</v>
      </c>
      <c r="Q53" s="83">
        <f ca="1">IFERROR(__xludf.DUMMYFUNCTION("""COMPUTED_VALUE"""),4)</f>
        <v>4</v>
      </c>
      <c r="R53" s="75" t="str">
        <f ca="1">IFERROR(__xludf.DUMMYFUNCTION("""COMPUTED_VALUE"""),"Pass")</f>
        <v>Pass</v>
      </c>
      <c r="S53" s="82">
        <f ca="1">IFERROR(__xludf.DUMMYFUNCTION("""COMPUTED_VALUE"""),1.79999999999999)</f>
        <v>1.7999999999999901</v>
      </c>
      <c r="T53" s="83">
        <f ca="1">IFERROR(__xludf.DUMMYFUNCTION("""COMPUTED_VALUE"""),2)</f>
        <v>2</v>
      </c>
      <c r="U53" s="75" t="str">
        <f ca="1">IFERROR(__xludf.DUMMYFUNCTION("""COMPUTED_VALUE"""),"Pass")</f>
        <v>Pass</v>
      </c>
      <c r="V53" s="82">
        <f ca="1">IFERROR(__xludf.DUMMYFUNCTION("""COMPUTED_VALUE"""),1.92)</f>
        <v>1.92</v>
      </c>
      <c r="W53" s="83">
        <f ca="1">IFERROR(__xludf.DUMMYFUNCTION("""COMPUTED_VALUE"""),4)</f>
        <v>4</v>
      </c>
      <c r="X53" s="75" t="str">
        <f ca="1">IFERROR(__xludf.DUMMYFUNCTION("""COMPUTED_VALUE"""),"Pass")</f>
        <v>Pass</v>
      </c>
      <c r="Y53" s="82">
        <f ca="1">IFERROR(__xludf.DUMMYFUNCTION("""COMPUTED_VALUE"""),1.56)</f>
        <v>1.56</v>
      </c>
      <c r="Z53" s="83">
        <f ca="1">IFERROR(__xludf.DUMMYFUNCTION("""COMPUTED_VALUE"""),3)</f>
        <v>3</v>
      </c>
      <c r="AA53" s="75" t="str">
        <f ca="1">IFERROR(__xludf.DUMMYFUNCTION("""COMPUTED_VALUE"""),"Pass")</f>
        <v>Pass</v>
      </c>
      <c r="AB53" s="82">
        <f ca="1">IFERROR(__xludf.DUMMYFUNCTION("""COMPUTED_VALUE"""),0.7)</f>
        <v>0.7</v>
      </c>
      <c r="AC53" s="83">
        <f ca="1">IFERROR(__xludf.DUMMYFUNCTION("""COMPUTED_VALUE"""),2)</f>
        <v>2</v>
      </c>
      <c r="AD53" s="75" t="str">
        <f ca="1">IFERROR(__xludf.DUMMYFUNCTION("""COMPUTED_VALUE"""),"Station Fail")</f>
        <v>Station Fail</v>
      </c>
      <c r="AE53" s="82">
        <f ca="1">IFERROR(__xludf.DUMMYFUNCTION("""COMPUTED_VALUE"""),1.056)</f>
        <v>1.056</v>
      </c>
      <c r="AF53" s="83">
        <f ca="1">IFERROR(__xludf.DUMMYFUNCTION("""COMPUTED_VALUE"""),2)</f>
        <v>2</v>
      </c>
      <c r="AG53" s="75" t="str">
        <f ca="1">IFERROR(__xludf.DUMMYFUNCTION("""COMPUTED_VALUE"""),"Station Fail")</f>
        <v>Station Fail</v>
      </c>
      <c r="AH53" s="82">
        <f ca="1">IFERROR(__xludf.DUMMYFUNCTION("""COMPUTED_VALUE"""),1.02857142857142)</f>
        <v>1.02857142857142</v>
      </c>
      <c r="AI53" s="83">
        <f ca="1">IFERROR(__xludf.DUMMYFUNCTION("""COMPUTED_VALUE"""),2)</f>
        <v>2</v>
      </c>
      <c r="AJ53" s="75" t="str">
        <f ca="1">IFERROR(__xludf.DUMMYFUNCTION("""COMPUTED_VALUE"""),"Station Fail")</f>
        <v>Station Fail</v>
      </c>
      <c r="AK53" s="82">
        <f ca="1">IFERROR(__xludf.DUMMYFUNCTION("""COMPUTED_VALUE"""),1.79999999999999)</f>
        <v>1.7999999999999901</v>
      </c>
      <c r="AL53" s="83">
        <f ca="1">IFERROR(__xludf.DUMMYFUNCTION("""COMPUTED_VALUE"""),4)</f>
        <v>4</v>
      </c>
      <c r="AM53" s="75" t="str">
        <f ca="1">IFERROR(__xludf.DUMMYFUNCTION("""COMPUTED_VALUE"""),"Pass")</f>
        <v>Pass</v>
      </c>
      <c r="AN53" s="82">
        <f ca="1">IFERROR(__xludf.DUMMYFUNCTION("""COMPUTED_VALUE"""),0.184615384615384)</f>
        <v>0.18461538461538399</v>
      </c>
      <c r="AO53" s="83">
        <f ca="1">IFERROR(__xludf.DUMMYFUNCTION("""COMPUTED_VALUE"""),1)</f>
        <v>1</v>
      </c>
      <c r="AP53" s="75" t="str">
        <f ca="1">IFERROR(__xludf.DUMMYFUNCTION("""COMPUTED_VALUE"""),"Station Fail")</f>
        <v>Station Fail</v>
      </c>
      <c r="AQ53" s="82"/>
      <c r="AR53" s="83"/>
      <c r="AS53" s="75"/>
      <c r="AT53" s="82"/>
      <c r="AU53" s="83"/>
      <c r="AV53" s="75"/>
      <c r="AW53" s="82"/>
      <c r="AX53" s="83"/>
      <c r="AY53" s="75"/>
      <c r="AZ53" s="82"/>
      <c r="BA53" s="83"/>
      <c r="BB53" s="75"/>
      <c r="BC53" s="82"/>
      <c r="BD53" s="83"/>
      <c r="BE53" s="75"/>
      <c r="BF53" s="82"/>
      <c r="BG53" s="83"/>
      <c r="BH53" s="75"/>
      <c r="BI53" s="46"/>
    </row>
    <row r="54" spans="1:61" ht="22.5" customHeight="1" x14ac:dyDescent="0.25">
      <c r="A54" s="46"/>
      <c r="B54" s="75"/>
      <c r="C54" s="75"/>
      <c r="D54" s="75"/>
      <c r="E54" s="75" t="str">
        <f ca="1">IFERROR(__xludf.DUMMYFUNCTION("""COMPUTED_VALUE"""),"G05")</f>
        <v>G05</v>
      </c>
      <c r="F54" s="76"/>
      <c r="G54" s="77">
        <f ca="1">IFERROR(__xludf.DUMMYFUNCTION("""COMPUTED_VALUE"""),10)</f>
        <v>10</v>
      </c>
      <c r="H54" s="78">
        <f ca="1">IFERROR(__xludf.DUMMYFUNCTION("""COMPUTED_VALUE"""),0)</f>
        <v>0</v>
      </c>
      <c r="I54" s="79">
        <f ca="1">IFERROR(__xludf.DUMMYFUNCTION("""COMPUTED_VALUE"""),0)</f>
        <v>0</v>
      </c>
      <c r="J54" s="264"/>
      <c r="K54" s="82" t="str">
        <f ca="1">IFERROR(__xludf.DUMMYFUNCTION("""COMPUTED_VALUE"""),"-")</f>
        <v>-</v>
      </c>
      <c r="L54" s="81" t="str">
        <f ca="1">IFERROR(__xludf.DUMMYFUNCTION("""COMPUTED_VALUE"""),"Hold")</f>
        <v>Hold</v>
      </c>
      <c r="M54" s="82"/>
      <c r="N54" s="83"/>
      <c r="O54" s="75" t="str">
        <f ca="1">IFERROR(__xludf.DUMMYFUNCTION("""COMPUTED_VALUE"""),"Not Taken")</f>
        <v>Not Taken</v>
      </c>
      <c r="P54" s="82"/>
      <c r="Q54" s="83"/>
      <c r="R54" s="75" t="str">
        <f ca="1">IFERROR(__xludf.DUMMYFUNCTION("""COMPUTED_VALUE"""),"Not Taken")</f>
        <v>Not Taken</v>
      </c>
      <c r="S54" s="82"/>
      <c r="T54" s="83"/>
      <c r="U54" s="75" t="str">
        <f ca="1">IFERROR(__xludf.DUMMYFUNCTION("""COMPUTED_VALUE"""),"Not Taken")</f>
        <v>Not Taken</v>
      </c>
      <c r="V54" s="82"/>
      <c r="W54" s="83"/>
      <c r="X54" s="75" t="str">
        <f ca="1">IFERROR(__xludf.DUMMYFUNCTION("""COMPUTED_VALUE"""),"Not Taken")</f>
        <v>Not Taken</v>
      </c>
      <c r="Y54" s="82"/>
      <c r="Z54" s="83"/>
      <c r="AA54" s="75" t="str">
        <f ca="1">IFERROR(__xludf.DUMMYFUNCTION("""COMPUTED_VALUE"""),"Not Taken")</f>
        <v>Not Taken</v>
      </c>
      <c r="AB54" s="82"/>
      <c r="AC54" s="83"/>
      <c r="AD54" s="75" t="str">
        <f ca="1">IFERROR(__xludf.DUMMYFUNCTION("""COMPUTED_VALUE"""),"Not Taken")</f>
        <v>Not Taken</v>
      </c>
      <c r="AE54" s="82"/>
      <c r="AF54" s="83"/>
      <c r="AG54" s="75" t="str">
        <f ca="1">IFERROR(__xludf.DUMMYFUNCTION("""COMPUTED_VALUE"""),"Not Taken")</f>
        <v>Not Taken</v>
      </c>
      <c r="AH54" s="82"/>
      <c r="AI54" s="83"/>
      <c r="AJ54" s="75" t="str">
        <f ca="1">IFERROR(__xludf.DUMMYFUNCTION("""COMPUTED_VALUE"""),"Not Taken")</f>
        <v>Not Taken</v>
      </c>
      <c r="AK54" s="82"/>
      <c r="AL54" s="83"/>
      <c r="AM54" s="75" t="str">
        <f ca="1">IFERROR(__xludf.DUMMYFUNCTION("""COMPUTED_VALUE"""),"Not Taken")</f>
        <v>Not Taken</v>
      </c>
      <c r="AN54" s="82"/>
      <c r="AO54" s="83"/>
      <c r="AP54" s="75" t="str">
        <f ca="1">IFERROR(__xludf.DUMMYFUNCTION("""COMPUTED_VALUE"""),"Not Taken")</f>
        <v>Not Taken</v>
      </c>
      <c r="AQ54" s="82"/>
      <c r="AR54" s="83"/>
      <c r="AS54" s="75"/>
      <c r="AT54" s="82"/>
      <c r="AU54" s="83"/>
      <c r="AV54" s="75"/>
      <c r="AW54" s="82"/>
      <c r="AX54" s="83"/>
      <c r="AY54" s="75"/>
      <c r="AZ54" s="82"/>
      <c r="BA54" s="83"/>
      <c r="BB54" s="75"/>
      <c r="BC54" s="82"/>
      <c r="BD54" s="83"/>
      <c r="BE54" s="75"/>
      <c r="BF54" s="82"/>
      <c r="BG54" s="83"/>
      <c r="BH54" s="75"/>
      <c r="BI54" s="46"/>
    </row>
    <row r="55" spans="1:61" ht="22.5" customHeight="1" x14ac:dyDescent="0.25">
      <c r="A55" s="46"/>
      <c r="B55" s="75"/>
      <c r="C55" s="75"/>
      <c r="D55" s="75"/>
      <c r="E55" s="75"/>
      <c r="F55" s="76"/>
      <c r="G55" s="77">
        <f ca="1">IFERROR(__xludf.DUMMYFUNCTION("""COMPUTED_VALUE"""),0)</f>
        <v>0</v>
      </c>
      <c r="H55" s="78">
        <f ca="1">IFERROR(__xludf.DUMMYFUNCTION("""COMPUTED_VALUE"""),10)</f>
        <v>10</v>
      </c>
      <c r="I55" s="79">
        <f ca="1">IFERROR(__xludf.DUMMYFUNCTION("""COMPUTED_VALUE"""),5)</f>
        <v>5</v>
      </c>
      <c r="J55" s="264"/>
      <c r="K55" s="82">
        <f ca="1">IFERROR(__xludf.DUMMYFUNCTION("""COMPUTED_VALUE"""),15.34)</f>
        <v>15.34</v>
      </c>
      <c r="L55" s="81" t="str">
        <f ca="1">IFERROR(__xludf.DUMMYFUNCTION("""COMPUTED_VALUE"""),"Pass")</f>
        <v>Pass</v>
      </c>
      <c r="M55" s="82">
        <f ca="1">IFERROR(__xludf.DUMMYFUNCTION("""COMPUTED_VALUE"""),2.025)</f>
        <v>2.0249999999999999</v>
      </c>
      <c r="N55" s="83">
        <f ca="1">IFERROR(__xludf.DUMMYFUNCTION("""COMPUTED_VALUE"""),4)</f>
        <v>4</v>
      </c>
      <c r="O55" s="75" t="str">
        <f ca="1">IFERROR(__xludf.DUMMYFUNCTION("""COMPUTED_VALUE"""),"Pass")</f>
        <v>Pass</v>
      </c>
      <c r="P55" s="82">
        <f ca="1">IFERROR(__xludf.DUMMYFUNCTION("""COMPUTED_VALUE"""),2.16774193548387)</f>
        <v>2.1677419354838698</v>
      </c>
      <c r="Q55" s="83">
        <f ca="1">IFERROR(__xludf.DUMMYFUNCTION("""COMPUTED_VALUE"""),4)</f>
        <v>4</v>
      </c>
      <c r="R55" s="75" t="str">
        <f ca="1">IFERROR(__xludf.DUMMYFUNCTION("""COMPUTED_VALUE"""),"Pass")</f>
        <v>Pass</v>
      </c>
      <c r="S55" s="82">
        <f ca="1">IFERROR(__xludf.DUMMYFUNCTION("""COMPUTED_VALUE"""),1.4)</f>
        <v>1.4</v>
      </c>
      <c r="T55" s="83">
        <f ca="1">IFERROR(__xludf.DUMMYFUNCTION("""COMPUTED_VALUE"""),3)</f>
        <v>3</v>
      </c>
      <c r="U55" s="75" t="str">
        <f ca="1">IFERROR(__xludf.DUMMYFUNCTION("""COMPUTED_VALUE"""),"Station Fail")</f>
        <v>Station Fail</v>
      </c>
      <c r="V55" s="82">
        <f ca="1">IFERROR(__xludf.DUMMYFUNCTION("""COMPUTED_VALUE"""),0.72)</f>
        <v>0.72</v>
      </c>
      <c r="W55" s="83">
        <f ca="1">IFERROR(__xludf.DUMMYFUNCTION("""COMPUTED_VALUE"""),2)</f>
        <v>2</v>
      </c>
      <c r="X55" s="75" t="str">
        <f ca="1">IFERROR(__xludf.DUMMYFUNCTION("""COMPUTED_VALUE"""),"Station Fail")</f>
        <v>Station Fail</v>
      </c>
      <c r="Y55" s="82">
        <f ca="1">IFERROR(__xludf.DUMMYFUNCTION("""COMPUTED_VALUE"""),2.04)</f>
        <v>2.04</v>
      </c>
      <c r="Z55" s="83">
        <f ca="1">IFERROR(__xludf.DUMMYFUNCTION("""COMPUTED_VALUE"""),4)</f>
        <v>4</v>
      </c>
      <c r="AA55" s="75" t="str">
        <f ca="1">IFERROR(__xludf.DUMMYFUNCTION("""COMPUTED_VALUE"""),"Pass")</f>
        <v>Pass</v>
      </c>
      <c r="AB55" s="82">
        <f ca="1">IFERROR(__xludf.DUMMYFUNCTION("""COMPUTED_VALUE"""),1.29999999999999)</f>
        <v>1.2999999999999901</v>
      </c>
      <c r="AC55" s="83">
        <f ca="1">IFERROR(__xludf.DUMMYFUNCTION("""COMPUTED_VALUE"""),3)</f>
        <v>3</v>
      </c>
      <c r="AD55" s="75" t="str">
        <f ca="1">IFERROR(__xludf.DUMMYFUNCTION("""COMPUTED_VALUE"""),"Station Fail")</f>
        <v>Station Fail</v>
      </c>
      <c r="AE55" s="82">
        <f ca="1">IFERROR(__xludf.DUMMYFUNCTION("""COMPUTED_VALUE"""),1.248)</f>
        <v>1.248</v>
      </c>
      <c r="AF55" s="83">
        <f ca="1">IFERROR(__xludf.DUMMYFUNCTION("""COMPUTED_VALUE"""),2)</f>
        <v>2</v>
      </c>
      <c r="AG55" s="75" t="str">
        <f ca="1">IFERROR(__xludf.DUMMYFUNCTION("""COMPUTED_VALUE"""),"Station Fail")</f>
        <v>Station Fail</v>
      </c>
      <c r="AH55" s="82">
        <f ca="1">IFERROR(__xludf.DUMMYFUNCTION("""COMPUTED_VALUE"""),1.23428571428571)</f>
        <v>1.23428571428571</v>
      </c>
      <c r="AI55" s="83">
        <f ca="1">IFERROR(__xludf.DUMMYFUNCTION("""COMPUTED_VALUE"""),3)</f>
        <v>3</v>
      </c>
      <c r="AJ55" s="75" t="str">
        <f ca="1">IFERROR(__xludf.DUMMYFUNCTION("""COMPUTED_VALUE"""),"Station Fail")</f>
        <v>Station Fail</v>
      </c>
      <c r="AK55" s="82">
        <f ca="1">IFERROR(__xludf.DUMMYFUNCTION("""COMPUTED_VALUE"""),1.72499999999999)</f>
        <v>1.7249999999999901</v>
      </c>
      <c r="AL55" s="83">
        <f ca="1">IFERROR(__xludf.DUMMYFUNCTION("""COMPUTED_VALUE"""),3)</f>
        <v>3</v>
      </c>
      <c r="AM55" s="75" t="str">
        <f ca="1">IFERROR(__xludf.DUMMYFUNCTION("""COMPUTED_VALUE"""),"Pass")</f>
        <v>Pass</v>
      </c>
      <c r="AN55" s="82">
        <f ca="1">IFERROR(__xludf.DUMMYFUNCTION("""COMPUTED_VALUE"""),1.47692307692307)</f>
        <v>1.4769230769230699</v>
      </c>
      <c r="AO55" s="83">
        <f ca="1">IFERROR(__xludf.DUMMYFUNCTION("""COMPUTED_VALUE"""),2)</f>
        <v>2</v>
      </c>
      <c r="AP55" s="75" t="str">
        <f ca="1">IFERROR(__xludf.DUMMYFUNCTION("""COMPUTED_VALUE"""),"Pass")</f>
        <v>Pass</v>
      </c>
      <c r="AQ55" s="82"/>
      <c r="AR55" s="83"/>
      <c r="AS55" s="75"/>
      <c r="AT55" s="82"/>
      <c r="AU55" s="83"/>
      <c r="AV55" s="75"/>
      <c r="AW55" s="82"/>
      <c r="AX55" s="83"/>
      <c r="AY55" s="75"/>
      <c r="AZ55" s="82"/>
      <c r="BA55" s="83"/>
      <c r="BB55" s="75"/>
      <c r="BC55" s="82"/>
      <c r="BD55" s="83"/>
      <c r="BE55" s="75"/>
      <c r="BF55" s="82"/>
      <c r="BG55" s="83"/>
      <c r="BH55" s="75"/>
      <c r="BI55" s="46"/>
    </row>
    <row r="56" spans="1:61" ht="22.5" customHeight="1" x14ac:dyDescent="0.25">
      <c r="A56" s="46"/>
      <c r="B56" s="75"/>
      <c r="C56" s="75"/>
      <c r="D56" s="75"/>
      <c r="E56" s="75"/>
      <c r="F56" s="76"/>
      <c r="G56" s="77">
        <f ca="1">IFERROR(__xludf.DUMMYFUNCTION("""COMPUTED_VALUE"""),10)</f>
        <v>10</v>
      </c>
      <c r="H56" s="78">
        <f ca="1">IFERROR(__xludf.DUMMYFUNCTION("""COMPUTED_VALUE"""),0)</f>
        <v>0</v>
      </c>
      <c r="I56" s="79">
        <f ca="1">IFERROR(__xludf.DUMMYFUNCTION("""COMPUTED_VALUE"""),0)</f>
        <v>0</v>
      </c>
      <c r="J56" s="264"/>
      <c r="K56" s="82" t="str">
        <f ca="1">IFERROR(__xludf.DUMMYFUNCTION("""COMPUTED_VALUE"""),"-")</f>
        <v>-</v>
      </c>
      <c r="L56" s="81" t="str">
        <f ca="1">IFERROR(__xludf.DUMMYFUNCTION("""COMPUTED_VALUE"""),"Hold")</f>
        <v>Hold</v>
      </c>
      <c r="M56" s="82"/>
      <c r="N56" s="83"/>
      <c r="O56" s="75" t="str">
        <f ca="1">IFERROR(__xludf.DUMMYFUNCTION("""COMPUTED_VALUE"""),"Not Taken")</f>
        <v>Not Taken</v>
      </c>
      <c r="P56" s="82"/>
      <c r="Q56" s="83"/>
      <c r="R56" s="75" t="str">
        <f ca="1">IFERROR(__xludf.DUMMYFUNCTION("""COMPUTED_VALUE"""),"Not Taken")</f>
        <v>Not Taken</v>
      </c>
      <c r="S56" s="82"/>
      <c r="T56" s="83"/>
      <c r="U56" s="75" t="str">
        <f ca="1">IFERROR(__xludf.DUMMYFUNCTION("""COMPUTED_VALUE"""),"Not Taken")</f>
        <v>Not Taken</v>
      </c>
      <c r="V56" s="82"/>
      <c r="W56" s="83"/>
      <c r="X56" s="75" t="str">
        <f ca="1">IFERROR(__xludf.DUMMYFUNCTION("""COMPUTED_VALUE"""),"Not Taken")</f>
        <v>Not Taken</v>
      </c>
      <c r="Y56" s="82"/>
      <c r="Z56" s="83"/>
      <c r="AA56" s="75" t="str">
        <f ca="1">IFERROR(__xludf.DUMMYFUNCTION("""COMPUTED_VALUE"""),"Not Taken")</f>
        <v>Not Taken</v>
      </c>
      <c r="AB56" s="82"/>
      <c r="AC56" s="83"/>
      <c r="AD56" s="75" t="str">
        <f ca="1">IFERROR(__xludf.DUMMYFUNCTION("""COMPUTED_VALUE"""),"Not Taken")</f>
        <v>Not Taken</v>
      </c>
      <c r="AE56" s="82"/>
      <c r="AF56" s="83"/>
      <c r="AG56" s="75" t="str">
        <f ca="1">IFERROR(__xludf.DUMMYFUNCTION("""COMPUTED_VALUE"""),"Not Taken")</f>
        <v>Not Taken</v>
      </c>
      <c r="AH56" s="82"/>
      <c r="AI56" s="83"/>
      <c r="AJ56" s="75" t="str">
        <f ca="1">IFERROR(__xludf.DUMMYFUNCTION("""COMPUTED_VALUE"""),"Not Taken")</f>
        <v>Not Taken</v>
      </c>
      <c r="AK56" s="82"/>
      <c r="AL56" s="83"/>
      <c r="AM56" s="75" t="str">
        <f ca="1">IFERROR(__xludf.DUMMYFUNCTION("""COMPUTED_VALUE"""),"Not Taken")</f>
        <v>Not Taken</v>
      </c>
      <c r="AN56" s="82"/>
      <c r="AO56" s="83"/>
      <c r="AP56" s="75" t="str">
        <f ca="1">IFERROR(__xludf.DUMMYFUNCTION("""COMPUTED_VALUE"""),"Not Taken")</f>
        <v>Not Taken</v>
      </c>
      <c r="AQ56" s="82"/>
      <c r="AR56" s="83"/>
      <c r="AS56" s="75"/>
      <c r="AT56" s="82"/>
      <c r="AU56" s="83"/>
      <c r="AV56" s="75"/>
      <c r="AW56" s="82"/>
      <c r="AX56" s="83"/>
      <c r="AY56" s="75"/>
      <c r="AZ56" s="82"/>
      <c r="BA56" s="83"/>
      <c r="BB56" s="75"/>
      <c r="BC56" s="82"/>
      <c r="BD56" s="83"/>
      <c r="BE56" s="75"/>
      <c r="BF56" s="82"/>
      <c r="BG56" s="83"/>
      <c r="BH56" s="75"/>
      <c r="BI56" s="46"/>
    </row>
    <row r="57" spans="1:61" ht="22.5" customHeight="1" x14ac:dyDescent="0.25">
      <c r="A57" s="46"/>
      <c r="B57" s="75"/>
      <c r="C57" s="75"/>
      <c r="D57" s="75"/>
      <c r="E57" s="75"/>
      <c r="F57" s="76"/>
      <c r="G57" s="77">
        <f ca="1">IFERROR(__xludf.DUMMYFUNCTION("""COMPUTED_VALUE"""),0)</f>
        <v>0</v>
      </c>
      <c r="H57" s="78">
        <f ca="1">IFERROR(__xludf.DUMMYFUNCTION("""COMPUTED_VALUE"""),10)</f>
        <v>10</v>
      </c>
      <c r="I57" s="79">
        <f ca="1">IFERROR(__xludf.DUMMYFUNCTION("""COMPUTED_VALUE"""),4)</f>
        <v>4</v>
      </c>
      <c r="J57" s="264"/>
      <c r="K57" s="82">
        <f ca="1">IFERROR(__xludf.DUMMYFUNCTION("""COMPUTED_VALUE"""),16.34)</f>
        <v>16.34</v>
      </c>
      <c r="L57" s="81" t="str">
        <f ca="1">IFERROR(__xludf.DUMMYFUNCTION("""COMPUTED_VALUE"""),"Pass")</f>
        <v>Pass</v>
      </c>
      <c r="M57" s="82">
        <f ca="1">IFERROR(__xludf.DUMMYFUNCTION("""COMPUTED_VALUE"""),1.2)</f>
        <v>1.2</v>
      </c>
      <c r="N57" s="83">
        <f ca="1">IFERROR(__xludf.DUMMYFUNCTION("""COMPUTED_VALUE"""),2)</f>
        <v>2</v>
      </c>
      <c r="O57" s="75" t="str">
        <f ca="1">IFERROR(__xludf.DUMMYFUNCTION("""COMPUTED_VALUE"""),"Station Fail")</f>
        <v>Station Fail</v>
      </c>
      <c r="P57" s="82">
        <f ca="1">IFERROR(__xludf.DUMMYFUNCTION("""COMPUTED_VALUE"""),1.6258064516129)</f>
        <v>1.6258064516129</v>
      </c>
      <c r="Q57" s="83">
        <f ca="1">IFERROR(__xludf.DUMMYFUNCTION("""COMPUTED_VALUE"""),3)</f>
        <v>3</v>
      </c>
      <c r="R57" s="75" t="str">
        <f ca="1">IFERROR(__xludf.DUMMYFUNCTION("""COMPUTED_VALUE"""),"Pass")</f>
        <v>Pass</v>
      </c>
      <c r="S57" s="82">
        <f ca="1">IFERROR(__xludf.DUMMYFUNCTION("""COMPUTED_VALUE"""),2)</f>
        <v>2</v>
      </c>
      <c r="T57" s="83">
        <f ca="1">IFERROR(__xludf.DUMMYFUNCTION("""COMPUTED_VALUE"""),3)</f>
        <v>3</v>
      </c>
      <c r="U57" s="75" t="str">
        <f ca="1">IFERROR(__xludf.DUMMYFUNCTION("""COMPUTED_VALUE"""),"Pass")</f>
        <v>Pass</v>
      </c>
      <c r="V57" s="82">
        <f ca="1">IFERROR(__xludf.DUMMYFUNCTION("""COMPUTED_VALUE"""),2.28)</f>
        <v>2.2799999999999998</v>
      </c>
      <c r="W57" s="83">
        <f ca="1">IFERROR(__xludf.DUMMYFUNCTION("""COMPUTED_VALUE"""),5)</f>
        <v>5</v>
      </c>
      <c r="X57" s="75" t="str">
        <f ca="1">IFERROR(__xludf.DUMMYFUNCTION("""COMPUTED_VALUE"""),"Pass")</f>
        <v>Pass</v>
      </c>
      <c r="Y57" s="82">
        <f ca="1">IFERROR(__xludf.DUMMYFUNCTION("""COMPUTED_VALUE"""),2.28)</f>
        <v>2.2799999999999998</v>
      </c>
      <c r="Z57" s="83">
        <f ca="1">IFERROR(__xludf.DUMMYFUNCTION("""COMPUTED_VALUE"""),5)</f>
        <v>5</v>
      </c>
      <c r="AA57" s="75" t="str">
        <f ca="1">IFERROR(__xludf.DUMMYFUNCTION("""COMPUTED_VALUE"""),"Pass")</f>
        <v>Pass</v>
      </c>
      <c r="AB57" s="82">
        <f ca="1">IFERROR(__xludf.DUMMYFUNCTION("""COMPUTED_VALUE"""),1.09999999999999)</f>
        <v>1.0999999999999901</v>
      </c>
      <c r="AC57" s="83">
        <f ca="1">IFERROR(__xludf.DUMMYFUNCTION("""COMPUTED_VALUE"""),3)</f>
        <v>3</v>
      </c>
      <c r="AD57" s="75" t="str">
        <f ca="1">IFERROR(__xludf.DUMMYFUNCTION("""COMPUTED_VALUE"""),"Station Fail")</f>
        <v>Station Fail</v>
      </c>
      <c r="AE57" s="82">
        <f ca="1">IFERROR(__xludf.DUMMYFUNCTION("""COMPUTED_VALUE"""),1.536)</f>
        <v>1.536</v>
      </c>
      <c r="AF57" s="83">
        <f ca="1">IFERROR(__xludf.DUMMYFUNCTION("""COMPUTED_VALUE"""),3)</f>
        <v>3</v>
      </c>
      <c r="AG57" s="75" t="str">
        <f ca="1">IFERROR(__xludf.DUMMYFUNCTION("""COMPUTED_VALUE"""),"Pass")</f>
        <v>Pass</v>
      </c>
      <c r="AH57" s="82">
        <f ca="1">IFERROR(__xludf.DUMMYFUNCTION("""COMPUTED_VALUE"""),0.96)</f>
        <v>0.96</v>
      </c>
      <c r="AI57" s="83">
        <f ca="1">IFERROR(__xludf.DUMMYFUNCTION("""COMPUTED_VALUE"""),2)</f>
        <v>2</v>
      </c>
      <c r="AJ57" s="75" t="str">
        <f ca="1">IFERROR(__xludf.DUMMYFUNCTION("""COMPUTED_VALUE"""),"Station Fail")</f>
        <v>Station Fail</v>
      </c>
      <c r="AK57" s="82">
        <f ca="1">IFERROR(__xludf.DUMMYFUNCTION("""COMPUTED_VALUE"""),2.25)</f>
        <v>2.25</v>
      </c>
      <c r="AL57" s="83">
        <f ca="1">IFERROR(__xludf.DUMMYFUNCTION("""COMPUTED_VALUE"""),4)</f>
        <v>4</v>
      </c>
      <c r="AM57" s="75" t="str">
        <f ca="1">IFERROR(__xludf.DUMMYFUNCTION("""COMPUTED_VALUE"""),"Pass")</f>
        <v>Pass</v>
      </c>
      <c r="AN57" s="82">
        <f ca="1">IFERROR(__xludf.DUMMYFUNCTION("""COMPUTED_VALUE"""),1.1076923076923)</f>
        <v>1.1076923076923</v>
      </c>
      <c r="AO57" s="83">
        <f ca="1">IFERROR(__xludf.DUMMYFUNCTION("""COMPUTED_VALUE"""),1)</f>
        <v>1</v>
      </c>
      <c r="AP57" s="75" t="str">
        <f ca="1">IFERROR(__xludf.DUMMYFUNCTION("""COMPUTED_VALUE"""),"Station Fail")</f>
        <v>Station Fail</v>
      </c>
      <c r="AQ57" s="82"/>
      <c r="AR57" s="83"/>
      <c r="AS57" s="75"/>
      <c r="AT57" s="82"/>
      <c r="AU57" s="83"/>
      <c r="AV57" s="75"/>
      <c r="AW57" s="82"/>
      <c r="AX57" s="83"/>
      <c r="AY57" s="75"/>
      <c r="AZ57" s="82"/>
      <c r="BA57" s="83"/>
      <c r="BB57" s="75"/>
      <c r="BC57" s="82"/>
      <c r="BD57" s="83"/>
      <c r="BE57" s="75"/>
      <c r="BF57" s="82"/>
      <c r="BG57" s="83"/>
      <c r="BH57" s="75"/>
      <c r="BI57" s="46"/>
    </row>
    <row r="58" spans="1:61" ht="22.5" customHeight="1" x14ac:dyDescent="0.25">
      <c r="A58" s="46"/>
      <c r="B58" s="75"/>
      <c r="C58" s="75"/>
      <c r="D58" s="75"/>
      <c r="E58" s="75"/>
      <c r="F58" s="76"/>
      <c r="G58" s="77">
        <f ca="1">IFERROR(__xludf.DUMMYFUNCTION("""COMPUTED_VALUE"""),0)</f>
        <v>0</v>
      </c>
      <c r="H58" s="78">
        <f ca="1">IFERROR(__xludf.DUMMYFUNCTION("""COMPUTED_VALUE"""),10)</f>
        <v>10</v>
      </c>
      <c r="I58" s="79">
        <f ca="1">IFERROR(__xludf.DUMMYFUNCTION("""COMPUTED_VALUE"""),1)</f>
        <v>1</v>
      </c>
      <c r="J58" s="264"/>
      <c r="K58" s="82">
        <f ca="1">IFERROR(__xludf.DUMMYFUNCTION("""COMPUTED_VALUE"""),18.87)</f>
        <v>18.87</v>
      </c>
      <c r="L58" s="81" t="str">
        <f ca="1">IFERROR(__xludf.DUMMYFUNCTION("""COMPUTED_VALUE"""),"Pass")</f>
        <v>Pass</v>
      </c>
      <c r="M58" s="82">
        <f ca="1">IFERROR(__xludf.DUMMYFUNCTION("""COMPUTED_VALUE"""),2.175)</f>
        <v>2.1749999999999998</v>
      </c>
      <c r="N58" s="83">
        <f ca="1">IFERROR(__xludf.DUMMYFUNCTION("""COMPUTED_VALUE"""),4)</f>
        <v>4</v>
      </c>
      <c r="O58" s="75" t="str">
        <f ca="1">IFERROR(__xludf.DUMMYFUNCTION("""COMPUTED_VALUE"""),"Pass")</f>
        <v>Pass</v>
      </c>
      <c r="P58" s="82">
        <f ca="1">IFERROR(__xludf.DUMMYFUNCTION("""COMPUTED_VALUE"""),2.32258064516129)</f>
        <v>2.32258064516129</v>
      </c>
      <c r="Q58" s="83">
        <f ca="1">IFERROR(__xludf.DUMMYFUNCTION("""COMPUTED_VALUE"""),4)</f>
        <v>4</v>
      </c>
      <c r="R58" s="75" t="str">
        <f ca="1">IFERROR(__xludf.DUMMYFUNCTION("""COMPUTED_VALUE"""),"Pass")</f>
        <v>Pass</v>
      </c>
      <c r="S58" s="82">
        <f ca="1">IFERROR(__xludf.DUMMYFUNCTION("""COMPUTED_VALUE"""),2.1)</f>
        <v>2.1</v>
      </c>
      <c r="T58" s="83">
        <f ca="1">IFERROR(__xludf.DUMMYFUNCTION("""COMPUTED_VALUE"""),4)</f>
        <v>4</v>
      </c>
      <c r="U58" s="75" t="str">
        <f ca="1">IFERROR(__xludf.DUMMYFUNCTION("""COMPUTED_VALUE"""),"Pass")</f>
        <v>Pass</v>
      </c>
      <c r="V58" s="82">
        <f ca="1">IFERROR(__xludf.DUMMYFUNCTION("""COMPUTED_VALUE"""),1.68)</f>
        <v>1.68</v>
      </c>
      <c r="W58" s="83">
        <f ca="1">IFERROR(__xludf.DUMMYFUNCTION("""COMPUTED_VALUE"""),5)</f>
        <v>5</v>
      </c>
      <c r="X58" s="75" t="str">
        <f ca="1">IFERROR(__xludf.DUMMYFUNCTION("""COMPUTED_VALUE"""),"Pass")</f>
        <v>Pass</v>
      </c>
      <c r="Y58" s="82">
        <f ca="1">IFERROR(__xludf.DUMMYFUNCTION("""COMPUTED_VALUE"""),2.16)</f>
        <v>2.16</v>
      </c>
      <c r="Z58" s="83">
        <f ca="1">IFERROR(__xludf.DUMMYFUNCTION("""COMPUTED_VALUE"""),5)</f>
        <v>5</v>
      </c>
      <c r="AA58" s="75" t="str">
        <f ca="1">IFERROR(__xludf.DUMMYFUNCTION("""COMPUTED_VALUE"""),"Pass")</f>
        <v>Pass</v>
      </c>
      <c r="AB58" s="82">
        <f ca="1">IFERROR(__xludf.DUMMYFUNCTION("""COMPUTED_VALUE"""),1.79999999999999)</f>
        <v>1.7999999999999901</v>
      </c>
      <c r="AC58" s="83">
        <f ca="1">IFERROR(__xludf.DUMMYFUNCTION("""COMPUTED_VALUE"""),4)</f>
        <v>4</v>
      </c>
      <c r="AD58" s="75" t="str">
        <f ca="1">IFERROR(__xludf.DUMMYFUNCTION("""COMPUTED_VALUE"""),"Pass")</f>
        <v>Pass</v>
      </c>
      <c r="AE58" s="82">
        <f ca="1">IFERROR(__xludf.DUMMYFUNCTION("""COMPUTED_VALUE"""),1.728)</f>
        <v>1.728</v>
      </c>
      <c r="AF58" s="83">
        <f ca="1">IFERROR(__xludf.DUMMYFUNCTION("""COMPUTED_VALUE"""),4)</f>
        <v>4</v>
      </c>
      <c r="AG58" s="75" t="str">
        <f ca="1">IFERROR(__xludf.DUMMYFUNCTION("""COMPUTED_VALUE"""),"Pass")</f>
        <v>Pass</v>
      </c>
      <c r="AH58" s="82">
        <f ca="1">IFERROR(__xludf.DUMMYFUNCTION("""COMPUTED_VALUE"""),1.85142857142857)</f>
        <v>1.8514285714285701</v>
      </c>
      <c r="AI58" s="83">
        <f ca="1">IFERROR(__xludf.DUMMYFUNCTION("""COMPUTED_VALUE"""),4)</f>
        <v>4</v>
      </c>
      <c r="AJ58" s="75" t="str">
        <f ca="1">IFERROR(__xludf.DUMMYFUNCTION("""COMPUTED_VALUE"""),"Pass")</f>
        <v>Pass</v>
      </c>
      <c r="AK58" s="82">
        <f ca="1">IFERROR(__xludf.DUMMYFUNCTION("""COMPUTED_VALUE"""),1.95)</f>
        <v>1.95</v>
      </c>
      <c r="AL58" s="83">
        <f ca="1">IFERROR(__xludf.DUMMYFUNCTION("""COMPUTED_VALUE"""),4)</f>
        <v>4</v>
      </c>
      <c r="AM58" s="75" t="str">
        <f ca="1">IFERROR(__xludf.DUMMYFUNCTION("""COMPUTED_VALUE"""),"Pass")</f>
        <v>Pass</v>
      </c>
      <c r="AN58" s="82">
        <f ca="1">IFERROR(__xludf.DUMMYFUNCTION("""COMPUTED_VALUE"""),1.1076923076923)</f>
        <v>1.1076923076923</v>
      </c>
      <c r="AO58" s="83">
        <f ca="1">IFERROR(__xludf.DUMMYFUNCTION("""COMPUTED_VALUE"""),2)</f>
        <v>2</v>
      </c>
      <c r="AP58" s="75" t="str">
        <f ca="1">IFERROR(__xludf.DUMMYFUNCTION("""COMPUTED_VALUE"""),"Station Fail")</f>
        <v>Station Fail</v>
      </c>
      <c r="AQ58" s="82"/>
      <c r="AR58" s="83"/>
      <c r="AS58" s="75"/>
      <c r="AT58" s="82"/>
      <c r="AU58" s="83"/>
      <c r="AV58" s="75"/>
      <c r="AW58" s="82"/>
      <c r="AX58" s="83"/>
      <c r="AY58" s="75"/>
      <c r="AZ58" s="82"/>
      <c r="BA58" s="83"/>
      <c r="BB58" s="75"/>
      <c r="BC58" s="82"/>
      <c r="BD58" s="83"/>
      <c r="BE58" s="75"/>
      <c r="BF58" s="82"/>
      <c r="BG58" s="83"/>
      <c r="BH58" s="75"/>
      <c r="BI58" s="46"/>
    </row>
    <row r="59" spans="1:61" ht="22.5" customHeight="1" x14ac:dyDescent="0.25">
      <c r="A59" s="46"/>
      <c r="B59" s="75"/>
      <c r="C59" s="75"/>
      <c r="D59" s="75"/>
      <c r="E59" s="75"/>
      <c r="F59" s="76"/>
      <c r="G59" s="77">
        <f ca="1">IFERROR(__xludf.DUMMYFUNCTION("""COMPUTED_VALUE"""),0)</f>
        <v>0</v>
      </c>
      <c r="H59" s="78">
        <f ca="1">IFERROR(__xludf.DUMMYFUNCTION("""COMPUTED_VALUE"""),10)</f>
        <v>10</v>
      </c>
      <c r="I59" s="79">
        <f ca="1">IFERROR(__xludf.DUMMYFUNCTION("""COMPUTED_VALUE"""),2)</f>
        <v>2</v>
      </c>
      <c r="J59" s="264"/>
      <c r="K59" s="82">
        <f ca="1">IFERROR(__xludf.DUMMYFUNCTION("""COMPUTED_VALUE"""),17.85)</f>
        <v>17.850000000000001</v>
      </c>
      <c r="L59" s="81" t="str">
        <f ca="1">IFERROR(__xludf.DUMMYFUNCTION("""COMPUTED_VALUE"""),"Pass")</f>
        <v>Pass</v>
      </c>
      <c r="M59" s="82">
        <f ca="1">IFERROR(__xludf.DUMMYFUNCTION("""COMPUTED_VALUE"""),1.79999999999999)</f>
        <v>1.7999999999999901</v>
      </c>
      <c r="N59" s="83">
        <f ca="1">IFERROR(__xludf.DUMMYFUNCTION("""COMPUTED_VALUE"""),4)</f>
        <v>4</v>
      </c>
      <c r="O59" s="75" t="str">
        <f ca="1">IFERROR(__xludf.DUMMYFUNCTION("""COMPUTED_VALUE"""),"Pass")</f>
        <v>Pass</v>
      </c>
      <c r="P59" s="82">
        <f ca="1">IFERROR(__xludf.DUMMYFUNCTION("""COMPUTED_VALUE"""),1.85806451612903)</f>
        <v>1.8580645161290299</v>
      </c>
      <c r="Q59" s="83">
        <f ca="1">IFERROR(__xludf.DUMMYFUNCTION("""COMPUTED_VALUE"""),4)</f>
        <v>4</v>
      </c>
      <c r="R59" s="75" t="str">
        <f ca="1">IFERROR(__xludf.DUMMYFUNCTION("""COMPUTED_VALUE"""),"Pass")</f>
        <v>Pass</v>
      </c>
      <c r="S59" s="82">
        <f ca="1">IFERROR(__xludf.DUMMYFUNCTION("""COMPUTED_VALUE"""),2.4)</f>
        <v>2.4</v>
      </c>
      <c r="T59" s="83">
        <f ca="1">IFERROR(__xludf.DUMMYFUNCTION("""COMPUTED_VALUE"""),4)</f>
        <v>4</v>
      </c>
      <c r="U59" s="75" t="str">
        <f ca="1">IFERROR(__xludf.DUMMYFUNCTION("""COMPUTED_VALUE"""),"Pass")</f>
        <v>Pass</v>
      </c>
      <c r="V59" s="82">
        <f ca="1">IFERROR(__xludf.DUMMYFUNCTION("""COMPUTED_VALUE"""),2.28)</f>
        <v>2.2799999999999998</v>
      </c>
      <c r="W59" s="83">
        <f ca="1">IFERROR(__xludf.DUMMYFUNCTION("""COMPUTED_VALUE"""),4)</f>
        <v>4</v>
      </c>
      <c r="X59" s="75" t="str">
        <f ca="1">IFERROR(__xludf.DUMMYFUNCTION("""COMPUTED_VALUE"""),"Pass")</f>
        <v>Pass</v>
      </c>
      <c r="Y59" s="82">
        <f ca="1">IFERROR(__xludf.DUMMYFUNCTION("""COMPUTED_VALUE"""),2.28)</f>
        <v>2.2799999999999998</v>
      </c>
      <c r="Z59" s="83">
        <f ca="1">IFERROR(__xludf.DUMMYFUNCTION("""COMPUTED_VALUE"""),5)</f>
        <v>5</v>
      </c>
      <c r="AA59" s="75" t="str">
        <f ca="1">IFERROR(__xludf.DUMMYFUNCTION("""COMPUTED_VALUE"""),"Pass")</f>
        <v>Pass</v>
      </c>
      <c r="AB59" s="82">
        <f ca="1">IFERROR(__xludf.DUMMYFUNCTION("""COMPUTED_VALUE"""),1.7)</f>
        <v>1.7</v>
      </c>
      <c r="AC59" s="83">
        <f ca="1">IFERROR(__xludf.DUMMYFUNCTION("""COMPUTED_VALUE"""),3)</f>
        <v>3</v>
      </c>
      <c r="AD59" s="75" t="str">
        <f ca="1">IFERROR(__xludf.DUMMYFUNCTION("""COMPUTED_VALUE"""),"Pass")</f>
        <v>Pass</v>
      </c>
      <c r="AE59" s="82">
        <f ca="1">IFERROR(__xludf.DUMMYFUNCTION("""COMPUTED_VALUE"""),2.4)</f>
        <v>2.4</v>
      </c>
      <c r="AF59" s="83">
        <f ca="1">IFERROR(__xludf.DUMMYFUNCTION("""COMPUTED_VALUE"""),5)</f>
        <v>5</v>
      </c>
      <c r="AG59" s="75" t="str">
        <f ca="1">IFERROR(__xludf.DUMMYFUNCTION("""COMPUTED_VALUE"""),"Pass")</f>
        <v>Pass</v>
      </c>
      <c r="AH59" s="82">
        <f ca="1">IFERROR(__xludf.DUMMYFUNCTION("""COMPUTED_VALUE"""),0.96)</f>
        <v>0.96</v>
      </c>
      <c r="AI59" s="83">
        <f ca="1">IFERROR(__xludf.DUMMYFUNCTION("""COMPUTED_VALUE"""),2)</f>
        <v>2</v>
      </c>
      <c r="AJ59" s="75" t="str">
        <f ca="1">IFERROR(__xludf.DUMMYFUNCTION("""COMPUTED_VALUE"""),"Station Fail")</f>
        <v>Station Fail</v>
      </c>
      <c r="AK59" s="82">
        <f ca="1">IFERROR(__xludf.DUMMYFUNCTION("""COMPUTED_VALUE"""),2.175)</f>
        <v>2.1749999999999998</v>
      </c>
      <c r="AL59" s="83">
        <f ca="1">IFERROR(__xludf.DUMMYFUNCTION("""COMPUTED_VALUE"""),4)</f>
        <v>4</v>
      </c>
      <c r="AM59" s="75" t="str">
        <f ca="1">IFERROR(__xludf.DUMMYFUNCTION("""COMPUTED_VALUE"""),"Pass")</f>
        <v>Pass</v>
      </c>
      <c r="AN59" s="82">
        <f ca="1">IFERROR(__xludf.DUMMYFUNCTION("""COMPUTED_VALUE"""),0)</f>
        <v>0</v>
      </c>
      <c r="AO59" s="83">
        <f ca="1">IFERROR(__xludf.DUMMYFUNCTION("""COMPUTED_VALUE"""),1)</f>
        <v>1</v>
      </c>
      <c r="AP59" s="75" t="str">
        <f ca="1">IFERROR(__xludf.DUMMYFUNCTION("""COMPUTED_VALUE"""),"Station Fail")</f>
        <v>Station Fail</v>
      </c>
      <c r="AQ59" s="82"/>
      <c r="AR59" s="83"/>
      <c r="AS59" s="75"/>
      <c r="AT59" s="82"/>
      <c r="AU59" s="83"/>
      <c r="AV59" s="75"/>
      <c r="AW59" s="82"/>
      <c r="AX59" s="83"/>
      <c r="AY59" s="75"/>
      <c r="AZ59" s="82"/>
      <c r="BA59" s="83"/>
      <c r="BB59" s="75"/>
      <c r="BC59" s="82"/>
      <c r="BD59" s="83"/>
      <c r="BE59" s="75"/>
      <c r="BF59" s="82"/>
      <c r="BG59" s="83"/>
      <c r="BH59" s="75"/>
      <c r="BI59" s="46"/>
    </row>
    <row r="60" spans="1:61" ht="22.5" customHeight="1" x14ac:dyDescent="0.25">
      <c r="A60" s="46"/>
      <c r="B60" s="75"/>
      <c r="C60" s="75"/>
      <c r="D60" s="75"/>
      <c r="E60" s="75"/>
      <c r="F60" s="76"/>
      <c r="G60" s="77">
        <f ca="1">IFERROR(__xludf.DUMMYFUNCTION("""COMPUTED_VALUE"""),0)</f>
        <v>0</v>
      </c>
      <c r="H60" s="78">
        <f ca="1">IFERROR(__xludf.DUMMYFUNCTION("""COMPUTED_VALUE"""),10)</f>
        <v>10</v>
      </c>
      <c r="I60" s="79">
        <f ca="1">IFERROR(__xludf.DUMMYFUNCTION("""COMPUTED_VALUE"""),6)</f>
        <v>6</v>
      </c>
      <c r="J60" s="264"/>
      <c r="K60" s="82">
        <f ca="1">IFERROR(__xludf.DUMMYFUNCTION("""COMPUTED_VALUE"""),11.89)</f>
        <v>11.89</v>
      </c>
      <c r="L60" s="81" t="str">
        <f ca="1">IFERROR(__xludf.DUMMYFUNCTION("""COMPUTED_VALUE"""),"Fail")</f>
        <v>Fail</v>
      </c>
      <c r="M60" s="82">
        <f ca="1">IFERROR(__xludf.DUMMYFUNCTION("""COMPUTED_VALUE"""),1.425)</f>
        <v>1.425</v>
      </c>
      <c r="N60" s="83">
        <f ca="1">IFERROR(__xludf.DUMMYFUNCTION("""COMPUTED_VALUE"""),3)</f>
        <v>3</v>
      </c>
      <c r="O60" s="75" t="str">
        <f ca="1">IFERROR(__xludf.DUMMYFUNCTION("""COMPUTED_VALUE"""),"Station Fail")</f>
        <v>Station Fail</v>
      </c>
      <c r="P60" s="82">
        <f ca="1">IFERROR(__xludf.DUMMYFUNCTION("""COMPUTED_VALUE"""),1.78064516129032)</f>
        <v>1.78064516129032</v>
      </c>
      <c r="Q60" s="83">
        <f ca="1">IFERROR(__xludf.DUMMYFUNCTION("""COMPUTED_VALUE"""),4)</f>
        <v>4</v>
      </c>
      <c r="R60" s="75" t="str">
        <f ca="1">IFERROR(__xludf.DUMMYFUNCTION("""COMPUTED_VALUE"""),"Pass")</f>
        <v>Pass</v>
      </c>
      <c r="S60" s="82">
        <f ca="1">IFERROR(__xludf.DUMMYFUNCTION("""COMPUTED_VALUE"""),0.6)</f>
        <v>0.6</v>
      </c>
      <c r="T60" s="83">
        <f ca="1">IFERROR(__xludf.DUMMYFUNCTION("""COMPUTED_VALUE"""),1)</f>
        <v>1</v>
      </c>
      <c r="U60" s="75" t="str">
        <f ca="1">IFERROR(__xludf.DUMMYFUNCTION("""COMPUTED_VALUE"""),"Station Fail")</f>
        <v>Station Fail</v>
      </c>
      <c r="V60" s="82">
        <f ca="1">IFERROR(__xludf.DUMMYFUNCTION("""COMPUTED_VALUE"""),1.92)</f>
        <v>1.92</v>
      </c>
      <c r="W60" s="83">
        <f ca="1">IFERROR(__xludf.DUMMYFUNCTION("""COMPUTED_VALUE"""),3)</f>
        <v>3</v>
      </c>
      <c r="X60" s="75" t="str">
        <f ca="1">IFERROR(__xludf.DUMMYFUNCTION("""COMPUTED_VALUE"""),"Pass")</f>
        <v>Pass</v>
      </c>
      <c r="Y60" s="82">
        <f ca="1">IFERROR(__xludf.DUMMYFUNCTION("""COMPUTED_VALUE"""),1.44)</f>
        <v>1.44</v>
      </c>
      <c r="Z60" s="83">
        <f ca="1">IFERROR(__xludf.DUMMYFUNCTION("""COMPUTED_VALUE"""),4)</f>
        <v>4</v>
      </c>
      <c r="AA60" s="75" t="str">
        <f ca="1">IFERROR(__xludf.DUMMYFUNCTION("""COMPUTED_VALUE"""),"Pass")</f>
        <v>Pass</v>
      </c>
      <c r="AB60" s="82">
        <f ca="1">IFERROR(__xludf.DUMMYFUNCTION("""COMPUTED_VALUE"""),0.3)</f>
        <v>0.3</v>
      </c>
      <c r="AC60" s="83">
        <f ca="1">IFERROR(__xludf.DUMMYFUNCTION("""COMPUTED_VALUE"""),1)</f>
        <v>1</v>
      </c>
      <c r="AD60" s="75" t="str">
        <f ca="1">IFERROR(__xludf.DUMMYFUNCTION("""COMPUTED_VALUE"""),"Station Fail")</f>
        <v>Station Fail</v>
      </c>
      <c r="AE60" s="82">
        <f ca="1">IFERROR(__xludf.DUMMYFUNCTION("""COMPUTED_VALUE"""),1.248)</f>
        <v>1.248</v>
      </c>
      <c r="AF60" s="83">
        <f ca="1">IFERROR(__xludf.DUMMYFUNCTION("""COMPUTED_VALUE"""),2)</f>
        <v>2</v>
      </c>
      <c r="AG60" s="75" t="str">
        <f ca="1">IFERROR(__xludf.DUMMYFUNCTION("""COMPUTED_VALUE"""),"Station Fail")</f>
        <v>Station Fail</v>
      </c>
      <c r="AH60" s="82">
        <f ca="1">IFERROR(__xludf.DUMMYFUNCTION("""COMPUTED_VALUE"""),0.891428571428571)</f>
        <v>0.89142857142857101</v>
      </c>
      <c r="AI60" s="83">
        <f ca="1">IFERROR(__xludf.DUMMYFUNCTION("""COMPUTED_VALUE"""),2)</f>
        <v>2</v>
      </c>
      <c r="AJ60" s="75" t="str">
        <f ca="1">IFERROR(__xludf.DUMMYFUNCTION("""COMPUTED_VALUE"""),"Station Fail")</f>
        <v>Station Fail</v>
      </c>
      <c r="AK60" s="82">
        <f ca="1">IFERROR(__xludf.DUMMYFUNCTION("""COMPUTED_VALUE"""),2.1)</f>
        <v>2.1</v>
      </c>
      <c r="AL60" s="83">
        <f ca="1">IFERROR(__xludf.DUMMYFUNCTION("""COMPUTED_VALUE"""),3)</f>
        <v>3</v>
      </c>
      <c r="AM60" s="75" t="str">
        <f ca="1">IFERROR(__xludf.DUMMYFUNCTION("""COMPUTED_VALUE"""),"Pass")</f>
        <v>Pass</v>
      </c>
      <c r="AN60" s="82">
        <f ca="1">IFERROR(__xludf.DUMMYFUNCTION("""COMPUTED_VALUE"""),0.184615384615384)</f>
        <v>0.18461538461538399</v>
      </c>
      <c r="AO60" s="83">
        <f ca="1">IFERROR(__xludf.DUMMYFUNCTION("""COMPUTED_VALUE"""),1)</f>
        <v>1</v>
      </c>
      <c r="AP60" s="75" t="str">
        <f ca="1">IFERROR(__xludf.DUMMYFUNCTION("""COMPUTED_VALUE"""),"Station Fail")</f>
        <v>Station Fail</v>
      </c>
      <c r="AQ60" s="82"/>
      <c r="AR60" s="83"/>
      <c r="AS60" s="75"/>
      <c r="AT60" s="82"/>
      <c r="AU60" s="83"/>
      <c r="AV60" s="75"/>
      <c r="AW60" s="82"/>
      <c r="AX60" s="83"/>
      <c r="AY60" s="75"/>
      <c r="AZ60" s="82"/>
      <c r="BA60" s="83"/>
      <c r="BB60" s="75"/>
      <c r="BC60" s="82"/>
      <c r="BD60" s="83"/>
      <c r="BE60" s="75"/>
      <c r="BF60" s="82"/>
      <c r="BG60" s="83"/>
      <c r="BH60" s="75"/>
      <c r="BI60" s="46"/>
    </row>
    <row r="61" spans="1:61" ht="22.5" customHeight="1" x14ac:dyDescent="0.25">
      <c r="A61" s="46"/>
      <c r="B61" s="75"/>
      <c r="C61" s="75"/>
      <c r="D61" s="75"/>
      <c r="E61" s="75"/>
      <c r="F61" s="76"/>
      <c r="G61" s="77">
        <f ca="1">IFERROR(__xludf.DUMMYFUNCTION("""COMPUTED_VALUE"""),0)</f>
        <v>0</v>
      </c>
      <c r="H61" s="78">
        <f ca="1">IFERROR(__xludf.DUMMYFUNCTION("""COMPUTED_VALUE"""),10)</f>
        <v>10</v>
      </c>
      <c r="I61" s="79">
        <f ca="1">IFERROR(__xludf.DUMMYFUNCTION("""COMPUTED_VALUE"""),4)</f>
        <v>4</v>
      </c>
      <c r="J61" s="264"/>
      <c r="K61" s="82">
        <f ca="1">IFERROR(__xludf.DUMMYFUNCTION("""COMPUTED_VALUE"""),14.93)</f>
        <v>14.93</v>
      </c>
      <c r="L61" s="81" t="str">
        <f ca="1">IFERROR(__xludf.DUMMYFUNCTION("""COMPUTED_VALUE"""),"Pass")</f>
        <v>Pass</v>
      </c>
      <c r="M61" s="82">
        <f ca="1">IFERROR(__xludf.DUMMYFUNCTION("""COMPUTED_VALUE"""),2.175)</f>
        <v>2.1749999999999998</v>
      </c>
      <c r="N61" s="83">
        <f ca="1">IFERROR(__xludf.DUMMYFUNCTION("""COMPUTED_VALUE"""),4)</f>
        <v>4</v>
      </c>
      <c r="O61" s="75" t="str">
        <f ca="1">IFERROR(__xludf.DUMMYFUNCTION("""COMPUTED_VALUE"""),"Pass")</f>
        <v>Pass</v>
      </c>
      <c r="P61" s="82">
        <f ca="1">IFERROR(__xludf.DUMMYFUNCTION("""COMPUTED_VALUE"""),2.16774193548387)</f>
        <v>2.1677419354838698</v>
      </c>
      <c r="Q61" s="83">
        <f ca="1">IFERROR(__xludf.DUMMYFUNCTION("""COMPUTED_VALUE"""),5)</f>
        <v>5</v>
      </c>
      <c r="R61" s="75" t="str">
        <f ca="1">IFERROR(__xludf.DUMMYFUNCTION("""COMPUTED_VALUE"""),"Pass")</f>
        <v>Pass</v>
      </c>
      <c r="S61" s="82">
        <f ca="1">IFERROR(__xludf.DUMMYFUNCTION("""COMPUTED_VALUE"""),0.899999999999999)</f>
        <v>0.89999999999999902</v>
      </c>
      <c r="T61" s="83">
        <f ca="1">IFERROR(__xludf.DUMMYFUNCTION("""COMPUTED_VALUE"""),2)</f>
        <v>2</v>
      </c>
      <c r="U61" s="75" t="str">
        <f ca="1">IFERROR(__xludf.DUMMYFUNCTION("""COMPUTED_VALUE"""),"Station Fail")</f>
        <v>Station Fail</v>
      </c>
      <c r="V61" s="82">
        <f ca="1">IFERROR(__xludf.DUMMYFUNCTION("""COMPUTED_VALUE"""),0.72)</f>
        <v>0.72</v>
      </c>
      <c r="W61" s="83">
        <f ca="1">IFERROR(__xludf.DUMMYFUNCTION("""COMPUTED_VALUE"""),3)</f>
        <v>3</v>
      </c>
      <c r="X61" s="75" t="str">
        <f ca="1">IFERROR(__xludf.DUMMYFUNCTION("""COMPUTED_VALUE"""),"Station Fail")</f>
        <v>Station Fail</v>
      </c>
      <c r="Y61" s="82">
        <f ca="1">IFERROR(__xludf.DUMMYFUNCTION("""COMPUTED_VALUE"""),1.68)</f>
        <v>1.68</v>
      </c>
      <c r="Z61" s="83">
        <f ca="1">IFERROR(__xludf.DUMMYFUNCTION("""COMPUTED_VALUE"""),3)</f>
        <v>3</v>
      </c>
      <c r="AA61" s="75" t="str">
        <f ca="1">IFERROR(__xludf.DUMMYFUNCTION("""COMPUTED_VALUE"""),"Pass")</f>
        <v>Pass</v>
      </c>
      <c r="AB61" s="82">
        <f ca="1">IFERROR(__xludf.DUMMYFUNCTION("""COMPUTED_VALUE"""),0.6)</f>
        <v>0.6</v>
      </c>
      <c r="AC61" s="83">
        <f ca="1">IFERROR(__xludf.DUMMYFUNCTION("""COMPUTED_VALUE"""),1)</f>
        <v>1</v>
      </c>
      <c r="AD61" s="75" t="str">
        <f ca="1">IFERROR(__xludf.DUMMYFUNCTION("""COMPUTED_VALUE"""),"Station Fail")</f>
        <v>Station Fail</v>
      </c>
      <c r="AE61" s="82">
        <f ca="1">IFERROR(__xludf.DUMMYFUNCTION("""COMPUTED_VALUE"""),1.82399999999999)</f>
        <v>1.8239999999999901</v>
      </c>
      <c r="AF61" s="83">
        <f ca="1">IFERROR(__xludf.DUMMYFUNCTION("""COMPUTED_VALUE"""),2)</f>
        <v>2</v>
      </c>
      <c r="AG61" s="75" t="str">
        <f ca="1">IFERROR(__xludf.DUMMYFUNCTION("""COMPUTED_VALUE"""),"Pass")</f>
        <v>Pass</v>
      </c>
      <c r="AH61" s="82">
        <f ca="1">IFERROR(__xludf.DUMMYFUNCTION("""COMPUTED_VALUE"""),1.57714285714285)</f>
        <v>1.5771428571428501</v>
      </c>
      <c r="AI61" s="83">
        <f ca="1">IFERROR(__xludf.DUMMYFUNCTION("""COMPUTED_VALUE"""),3)</f>
        <v>3</v>
      </c>
      <c r="AJ61" s="75" t="str">
        <f ca="1">IFERROR(__xludf.DUMMYFUNCTION("""COMPUTED_VALUE"""),"Pass")</f>
        <v>Pass</v>
      </c>
      <c r="AK61" s="82">
        <f ca="1">IFERROR(__xludf.DUMMYFUNCTION("""COMPUTED_VALUE"""),2.175)</f>
        <v>2.1749999999999998</v>
      </c>
      <c r="AL61" s="83">
        <f ca="1">IFERROR(__xludf.DUMMYFUNCTION("""COMPUTED_VALUE"""),4)</f>
        <v>4</v>
      </c>
      <c r="AM61" s="75" t="str">
        <f ca="1">IFERROR(__xludf.DUMMYFUNCTION("""COMPUTED_VALUE"""),"Pass")</f>
        <v>Pass</v>
      </c>
      <c r="AN61" s="82">
        <f ca="1">IFERROR(__xludf.DUMMYFUNCTION("""COMPUTED_VALUE"""),1.1076923076923)</f>
        <v>1.1076923076923</v>
      </c>
      <c r="AO61" s="83">
        <f ca="1">IFERROR(__xludf.DUMMYFUNCTION("""COMPUTED_VALUE"""),2)</f>
        <v>2</v>
      </c>
      <c r="AP61" s="75" t="str">
        <f ca="1">IFERROR(__xludf.DUMMYFUNCTION("""COMPUTED_VALUE"""),"Station Fail")</f>
        <v>Station Fail</v>
      </c>
      <c r="AQ61" s="82"/>
      <c r="AR61" s="83"/>
      <c r="AS61" s="75"/>
      <c r="AT61" s="82"/>
      <c r="AU61" s="83"/>
      <c r="AV61" s="75"/>
      <c r="AW61" s="82"/>
      <c r="AX61" s="83"/>
      <c r="AY61" s="75"/>
      <c r="AZ61" s="82"/>
      <c r="BA61" s="83"/>
      <c r="BB61" s="75"/>
      <c r="BC61" s="82"/>
      <c r="BD61" s="83"/>
      <c r="BE61" s="75"/>
      <c r="BF61" s="82"/>
      <c r="BG61" s="83"/>
      <c r="BH61" s="75"/>
      <c r="BI61" s="46"/>
    </row>
    <row r="62" spans="1:61" ht="22.5" customHeight="1" x14ac:dyDescent="0.25">
      <c r="A62" s="46"/>
      <c r="B62" s="75"/>
      <c r="C62" s="75"/>
      <c r="D62" s="75"/>
      <c r="E62" s="75"/>
      <c r="F62" s="76"/>
      <c r="G62" s="77">
        <f ca="1">IFERROR(__xludf.DUMMYFUNCTION("""COMPUTED_VALUE"""),0)</f>
        <v>0</v>
      </c>
      <c r="H62" s="78">
        <f ca="1">IFERROR(__xludf.DUMMYFUNCTION("""COMPUTED_VALUE"""),10)</f>
        <v>10</v>
      </c>
      <c r="I62" s="79">
        <f ca="1">IFERROR(__xludf.DUMMYFUNCTION("""COMPUTED_VALUE"""),5)</f>
        <v>5</v>
      </c>
      <c r="J62" s="264"/>
      <c r="K62" s="82">
        <f ca="1">IFERROR(__xludf.DUMMYFUNCTION("""COMPUTED_VALUE"""),15.23)</f>
        <v>15.23</v>
      </c>
      <c r="L62" s="81" t="str">
        <f ca="1">IFERROR(__xludf.DUMMYFUNCTION("""COMPUTED_VALUE"""),"Pass")</f>
        <v>Pass</v>
      </c>
      <c r="M62" s="82">
        <f ca="1">IFERROR(__xludf.DUMMYFUNCTION("""COMPUTED_VALUE"""),2.25)</f>
        <v>2.25</v>
      </c>
      <c r="N62" s="83">
        <f ca="1">IFERROR(__xludf.DUMMYFUNCTION("""COMPUTED_VALUE"""),4)</f>
        <v>4</v>
      </c>
      <c r="O62" s="75" t="str">
        <f ca="1">IFERROR(__xludf.DUMMYFUNCTION("""COMPUTED_VALUE"""),"Pass")</f>
        <v>Pass</v>
      </c>
      <c r="P62" s="82">
        <f ca="1">IFERROR(__xludf.DUMMYFUNCTION("""COMPUTED_VALUE"""),1.78064516129032)</f>
        <v>1.78064516129032</v>
      </c>
      <c r="Q62" s="83">
        <f ca="1">IFERROR(__xludf.DUMMYFUNCTION("""COMPUTED_VALUE"""),3)</f>
        <v>3</v>
      </c>
      <c r="R62" s="75" t="str">
        <f ca="1">IFERROR(__xludf.DUMMYFUNCTION("""COMPUTED_VALUE"""),"Pass")</f>
        <v>Pass</v>
      </c>
      <c r="S62" s="82">
        <f ca="1">IFERROR(__xludf.DUMMYFUNCTION("""COMPUTED_VALUE"""),1.9)</f>
        <v>1.9</v>
      </c>
      <c r="T62" s="83">
        <f ca="1">IFERROR(__xludf.DUMMYFUNCTION("""COMPUTED_VALUE"""),4)</f>
        <v>4</v>
      </c>
      <c r="U62" s="75" t="str">
        <f ca="1">IFERROR(__xludf.DUMMYFUNCTION("""COMPUTED_VALUE"""),"Pass")</f>
        <v>Pass</v>
      </c>
      <c r="V62" s="82">
        <f ca="1">IFERROR(__xludf.DUMMYFUNCTION("""COMPUTED_VALUE"""),1.32)</f>
        <v>1.32</v>
      </c>
      <c r="W62" s="83">
        <f ca="1">IFERROR(__xludf.DUMMYFUNCTION("""COMPUTED_VALUE"""),4)</f>
        <v>4</v>
      </c>
      <c r="X62" s="75" t="str">
        <f ca="1">IFERROR(__xludf.DUMMYFUNCTION("""COMPUTED_VALUE"""),"Station Fail")</f>
        <v>Station Fail</v>
      </c>
      <c r="Y62" s="82">
        <f ca="1">IFERROR(__xludf.DUMMYFUNCTION("""COMPUTED_VALUE"""),1.56)</f>
        <v>1.56</v>
      </c>
      <c r="Z62" s="83">
        <f ca="1">IFERROR(__xludf.DUMMYFUNCTION("""COMPUTED_VALUE"""),3)</f>
        <v>3</v>
      </c>
      <c r="AA62" s="75" t="str">
        <f ca="1">IFERROR(__xludf.DUMMYFUNCTION("""COMPUTED_VALUE"""),"Pass")</f>
        <v>Pass</v>
      </c>
      <c r="AB62" s="82">
        <f ca="1">IFERROR(__xludf.DUMMYFUNCTION("""COMPUTED_VALUE"""),1.29999999999999)</f>
        <v>1.2999999999999901</v>
      </c>
      <c r="AC62" s="83">
        <f ca="1">IFERROR(__xludf.DUMMYFUNCTION("""COMPUTED_VALUE"""),3)</f>
        <v>3</v>
      </c>
      <c r="AD62" s="75" t="str">
        <f ca="1">IFERROR(__xludf.DUMMYFUNCTION("""COMPUTED_VALUE"""),"Station Fail")</f>
        <v>Station Fail</v>
      </c>
      <c r="AE62" s="82">
        <f ca="1">IFERROR(__xludf.DUMMYFUNCTION("""COMPUTED_VALUE"""),1.056)</f>
        <v>1.056</v>
      </c>
      <c r="AF62" s="83">
        <f ca="1">IFERROR(__xludf.DUMMYFUNCTION("""COMPUTED_VALUE"""),3)</f>
        <v>3</v>
      </c>
      <c r="AG62" s="75" t="str">
        <f ca="1">IFERROR(__xludf.DUMMYFUNCTION("""COMPUTED_VALUE"""),"Station Fail")</f>
        <v>Station Fail</v>
      </c>
      <c r="AH62" s="82">
        <f ca="1">IFERROR(__xludf.DUMMYFUNCTION("""COMPUTED_VALUE"""),1.37142857142857)</f>
        <v>1.3714285714285701</v>
      </c>
      <c r="AI62" s="83">
        <f ca="1">IFERROR(__xludf.DUMMYFUNCTION("""COMPUTED_VALUE"""),4)</f>
        <v>4</v>
      </c>
      <c r="AJ62" s="75" t="str">
        <f ca="1">IFERROR(__xludf.DUMMYFUNCTION("""COMPUTED_VALUE"""),"Station Fail")</f>
        <v>Station Fail</v>
      </c>
      <c r="AK62" s="82">
        <f ca="1">IFERROR(__xludf.DUMMYFUNCTION("""COMPUTED_VALUE"""),1.95)</f>
        <v>1.95</v>
      </c>
      <c r="AL62" s="83">
        <f ca="1">IFERROR(__xludf.DUMMYFUNCTION("""COMPUTED_VALUE"""),4)</f>
        <v>4</v>
      </c>
      <c r="AM62" s="75" t="str">
        <f ca="1">IFERROR(__xludf.DUMMYFUNCTION("""COMPUTED_VALUE"""),"Pass")</f>
        <v>Pass</v>
      </c>
      <c r="AN62" s="82">
        <f ca="1">IFERROR(__xludf.DUMMYFUNCTION("""COMPUTED_VALUE"""),0.738461538461538)</f>
        <v>0.73846153846153795</v>
      </c>
      <c r="AO62" s="83">
        <f ca="1">IFERROR(__xludf.DUMMYFUNCTION("""COMPUTED_VALUE"""),1)</f>
        <v>1</v>
      </c>
      <c r="AP62" s="75" t="str">
        <f ca="1">IFERROR(__xludf.DUMMYFUNCTION("""COMPUTED_VALUE"""),"Station Fail")</f>
        <v>Station Fail</v>
      </c>
      <c r="AQ62" s="82"/>
      <c r="AR62" s="83"/>
      <c r="AS62" s="75"/>
      <c r="AT62" s="82"/>
      <c r="AU62" s="83"/>
      <c r="AV62" s="75"/>
      <c r="AW62" s="82"/>
      <c r="AX62" s="83"/>
      <c r="AY62" s="75"/>
      <c r="AZ62" s="82"/>
      <c r="BA62" s="83"/>
      <c r="BB62" s="75"/>
      <c r="BC62" s="82"/>
      <c r="BD62" s="83"/>
      <c r="BE62" s="75"/>
      <c r="BF62" s="82"/>
      <c r="BG62" s="83"/>
      <c r="BH62" s="75"/>
      <c r="BI62" s="46"/>
    </row>
    <row r="63" spans="1:61" ht="22.5" customHeight="1" x14ac:dyDescent="0.25">
      <c r="A63" s="46"/>
      <c r="B63" s="75"/>
      <c r="C63" s="75"/>
      <c r="D63" s="75"/>
      <c r="E63" s="75"/>
      <c r="F63" s="76"/>
      <c r="G63" s="77">
        <f ca="1">IFERROR(__xludf.DUMMYFUNCTION("""COMPUTED_VALUE"""),0)</f>
        <v>0</v>
      </c>
      <c r="H63" s="78">
        <f ca="1">IFERROR(__xludf.DUMMYFUNCTION("""COMPUTED_VALUE"""),10)</f>
        <v>10</v>
      </c>
      <c r="I63" s="79">
        <f ca="1">IFERROR(__xludf.DUMMYFUNCTION("""COMPUTED_VALUE"""),5)</f>
        <v>5</v>
      </c>
      <c r="J63" s="264"/>
      <c r="K63" s="82">
        <f ca="1">IFERROR(__xludf.DUMMYFUNCTION("""COMPUTED_VALUE"""),14.8)</f>
        <v>14.8</v>
      </c>
      <c r="L63" s="81" t="str">
        <f ca="1">IFERROR(__xludf.DUMMYFUNCTION("""COMPUTED_VALUE"""),"Pass")</f>
        <v>Pass</v>
      </c>
      <c r="M63" s="82">
        <f ca="1">IFERROR(__xludf.DUMMYFUNCTION("""COMPUTED_VALUE"""),1.425)</f>
        <v>1.425</v>
      </c>
      <c r="N63" s="83">
        <f ca="1">IFERROR(__xludf.DUMMYFUNCTION("""COMPUTED_VALUE"""),3)</f>
        <v>3</v>
      </c>
      <c r="O63" s="75" t="str">
        <f ca="1">IFERROR(__xludf.DUMMYFUNCTION("""COMPUTED_VALUE"""),"Station Fail")</f>
        <v>Station Fail</v>
      </c>
      <c r="P63" s="82">
        <f ca="1">IFERROR(__xludf.DUMMYFUNCTION("""COMPUTED_VALUE"""),2.4)</f>
        <v>2.4</v>
      </c>
      <c r="Q63" s="83">
        <f ca="1">IFERROR(__xludf.DUMMYFUNCTION("""COMPUTED_VALUE"""),5)</f>
        <v>5</v>
      </c>
      <c r="R63" s="75" t="str">
        <f ca="1">IFERROR(__xludf.DUMMYFUNCTION("""COMPUTED_VALUE"""),"Pass")</f>
        <v>Pass</v>
      </c>
      <c r="S63" s="82">
        <f ca="1">IFERROR(__xludf.DUMMYFUNCTION("""COMPUTED_VALUE"""),1.9)</f>
        <v>1.9</v>
      </c>
      <c r="T63" s="83">
        <f ca="1">IFERROR(__xludf.DUMMYFUNCTION("""COMPUTED_VALUE"""),3)</f>
        <v>3</v>
      </c>
      <c r="U63" s="75" t="str">
        <f ca="1">IFERROR(__xludf.DUMMYFUNCTION("""COMPUTED_VALUE"""),"Pass")</f>
        <v>Pass</v>
      </c>
      <c r="V63" s="82">
        <f ca="1">IFERROR(__xludf.DUMMYFUNCTION("""COMPUTED_VALUE"""),1.92)</f>
        <v>1.92</v>
      </c>
      <c r="W63" s="83">
        <f ca="1">IFERROR(__xludf.DUMMYFUNCTION("""COMPUTED_VALUE"""),3)</f>
        <v>3</v>
      </c>
      <c r="X63" s="75" t="str">
        <f ca="1">IFERROR(__xludf.DUMMYFUNCTION("""COMPUTED_VALUE"""),"Pass")</f>
        <v>Pass</v>
      </c>
      <c r="Y63" s="82">
        <f ca="1">IFERROR(__xludf.DUMMYFUNCTION("""COMPUTED_VALUE"""),1.32)</f>
        <v>1.32</v>
      </c>
      <c r="Z63" s="83">
        <f ca="1">IFERROR(__xludf.DUMMYFUNCTION("""COMPUTED_VALUE"""),3)</f>
        <v>3</v>
      </c>
      <c r="AA63" s="75" t="str">
        <f ca="1">IFERROR(__xludf.DUMMYFUNCTION("""COMPUTED_VALUE"""),"Station Fail")</f>
        <v>Station Fail</v>
      </c>
      <c r="AB63" s="82">
        <f ca="1">IFERROR(__xludf.DUMMYFUNCTION("""COMPUTED_VALUE"""),0.7)</f>
        <v>0.7</v>
      </c>
      <c r="AC63" s="83">
        <f ca="1">IFERROR(__xludf.DUMMYFUNCTION("""COMPUTED_VALUE"""),2)</f>
        <v>2</v>
      </c>
      <c r="AD63" s="75" t="str">
        <f ca="1">IFERROR(__xludf.DUMMYFUNCTION("""COMPUTED_VALUE"""),"Station Fail")</f>
        <v>Station Fail</v>
      </c>
      <c r="AE63" s="82">
        <f ca="1">IFERROR(__xludf.DUMMYFUNCTION("""COMPUTED_VALUE"""),1.82399999999999)</f>
        <v>1.8239999999999901</v>
      </c>
      <c r="AF63" s="83">
        <f ca="1">IFERROR(__xludf.DUMMYFUNCTION("""COMPUTED_VALUE"""),3)</f>
        <v>3</v>
      </c>
      <c r="AG63" s="75" t="str">
        <f ca="1">IFERROR(__xludf.DUMMYFUNCTION("""COMPUTED_VALUE"""),"Pass")</f>
        <v>Pass</v>
      </c>
      <c r="AH63" s="82">
        <f ca="1">IFERROR(__xludf.DUMMYFUNCTION("""COMPUTED_VALUE"""),1.02857142857142)</f>
        <v>1.02857142857142</v>
      </c>
      <c r="AI63" s="83">
        <f ca="1">IFERROR(__xludf.DUMMYFUNCTION("""COMPUTED_VALUE"""),3)</f>
        <v>3</v>
      </c>
      <c r="AJ63" s="75" t="str">
        <f ca="1">IFERROR(__xludf.DUMMYFUNCTION("""COMPUTED_VALUE"""),"Station Fail")</f>
        <v>Station Fail</v>
      </c>
      <c r="AK63" s="82">
        <f ca="1">IFERROR(__xludf.DUMMYFUNCTION("""COMPUTED_VALUE"""),2.1)</f>
        <v>2.1</v>
      </c>
      <c r="AL63" s="83">
        <f ca="1">IFERROR(__xludf.DUMMYFUNCTION("""COMPUTED_VALUE"""),4)</f>
        <v>4</v>
      </c>
      <c r="AM63" s="75" t="str">
        <f ca="1">IFERROR(__xludf.DUMMYFUNCTION("""COMPUTED_VALUE"""),"Pass")</f>
        <v>Pass</v>
      </c>
      <c r="AN63" s="82">
        <f ca="1">IFERROR(__xludf.DUMMYFUNCTION("""COMPUTED_VALUE"""),0.184615384615384)</f>
        <v>0.18461538461538399</v>
      </c>
      <c r="AO63" s="83">
        <f ca="1">IFERROR(__xludf.DUMMYFUNCTION("""COMPUTED_VALUE"""),1)</f>
        <v>1</v>
      </c>
      <c r="AP63" s="75" t="str">
        <f ca="1">IFERROR(__xludf.DUMMYFUNCTION("""COMPUTED_VALUE"""),"Station Fail")</f>
        <v>Station Fail</v>
      </c>
      <c r="AQ63" s="82"/>
      <c r="AR63" s="83"/>
      <c r="AS63" s="75"/>
      <c r="AT63" s="82"/>
      <c r="AU63" s="83"/>
      <c r="AV63" s="75"/>
      <c r="AW63" s="82"/>
      <c r="AX63" s="83"/>
      <c r="AY63" s="75"/>
      <c r="AZ63" s="82"/>
      <c r="BA63" s="83"/>
      <c r="BB63" s="75"/>
      <c r="BC63" s="82"/>
      <c r="BD63" s="83"/>
      <c r="BE63" s="75"/>
      <c r="BF63" s="82"/>
      <c r="BG63" s="83"/>
      <c r="BH63" s="75"/>
      <c r="BI63" s="46"/>
    </row>
    <row r="64" spans="1:61" ht="22.5" customHeight="1" x14ac:dyDescent="0.25">
      <c r="A64" s="46"/>
      <c r="B64" s="75"/>
      <c r="C64" s="75"/>
      <c r="D64" s="75"/>
      <c r="E64" s="75"/>
      <c r="F64" s="76"/>
      <c r="G64" s="77">
        <f ca="1">IFERROR(__xludf.DUMMYFUNCTION("""COMPUTED_VALUE"""),0)</f>
        <v>0</v>
      </c>
      <c r="H64" s="78">
        <f ca="1">IFERROR(__xludf.DUMMYFUNCTION("""COMPUTED_VALUE"""),10)</f>
        <v>10</v>
      </c>
      <c r="I64" s="79">
        <f ca="1">IFERROR(__xludf.DUMMYFUNCTION("""COMPUTED_VALUE"""),3)</f>
        <v>3</v>
      </c>
      <c r="J64" s="264"/>
      <c r="K64" s="82">
        <f ca="1">IFERROR(__xludf.DUMMYFUNCTION("""COMPUTED_VALUE"""),17.55)</f>
        <v>17.55</v>
      </c>
      <c r="L64" s="81" t="str">
        <f ca="1">IFERROR(__xludf.DUMMYFUNCTION("""COMPUTED_VALUE"""),"Pass")</f>
        <v>Pass</v>
      </c>
      <c r="M64" s="82">
        <f ca="1">IFERROR(__xludf.DUMMYFUNCTION("""COMPUTED_VALUE"""),2.32499999999999)</f>
        <v>2.32499999999999</v>
      </c>
      <c r="N64" s="83">
        <f ca="1">IFERROR(__xludf.DUMMYFUNCTION("""COMPUTED_VALUE"""),5)</f>
        <v>5</v>
      </c>
      <c r="O64" s="75" t="str">
        <f ca="1">IFERROR(__xludf.DUMMYFUNCTION("""COMPUTED_VALUE"""),"Pass")</f>
        <v>Pass</v>
      </c>
      <c r="P64" s="82">
        <f ca="1">IFERROR(__xludf.DUMMYFUNCTION("""COMPUTED_VALUE"""),2.24516129032258)</f>
        <v>2.2451612903225802</v>
      </c>
      <c r="Q64" s="83">
        <f ca="1">IFERROR(__xludf.DUMMYFUNCTION("""COMPUTED_VALUE"""),5)</f>
        <v>5</v>
      </c>
      <c r="R64" s="75" t="str">
        <f ca="1">IFERROR(__xludf.DUMMYFUNCTION("""COMPUTED_VALUE"""),"Pass")</f>
        <v>Pass</v>
      </c>
      <c r="S64" s="82">
        <f ca="1">IFERROR(__xludf.DUMMYFUNCTION("""COMPUTED_VALUE"""),1.2)</f>
        <v>1.2</v>
      </c>
      <c r="T64" s="83">
        <f ca="1">IFERROR(__xludf.DUMMYFUNCTION("""COMPUTED_VALUE"""),2)</f>
        <v>2</v>
      </c>
      <c r="U64" s="75" t="str">
        <f ca="1">IFERROR(__xludf.DUMMYFUNCTION("""COMPUTED_VALUE"""),"Station Fail")</f>
        <v>Station Fail</v>
      </c>
      <c r="V64" s="82">
        <f ca="1">IFERROR(__xludf.DUMMYFUNCTION("""COMPUTED_VALUE"""),1.68)</f>
        <v>1.68</v>
      </c>
      <c r="W64" s="83">
        <f ca="1">IFERROR(__xludf.DUMMYFUNCTION("""COMPUTED_VALUE"""),4)</f>
        <v>4</v>
      </c>
      <c r="X64" s="75" t="str">
        <f ca="1">IFERROR(__xludf.DUMMYFUNCTION("""COMPUTED_VALUE"""),"Pass")</f>
        <v>Pass</v>
      </c>
      <c r="Y64" s="82">
        <f ca="1">IFERROR(__xludf.DUMMYFUNCTION("""COMPUTED_VALUE"""),1.92)</f>
        <v>1.92</v>
      </c>
      <c r="Z64" s="83">
        <f ca="1">IFERROR(__xludf.DUMMYFUNCTION("""COMPUTED_VALUE"""),4)</f>
        <v>4</v>
      </c>
      <c r="AA64" s="75" t="str">
        <f ca="1">IFERROR(__xludf.DUMMYFUNCTION("""COMPUTED_VALUE"""),"Pass")</f>
        <v>Pass</v>
      </c>
      <c r="AB64" s="82">
        <f ca="1">IFERROR(__xludf.DUMMYFUNCTION("""COMPUTED_VALUE"""),1.29999999999999)</f>
        <v>1.2999999999999901</v>
      </c>
      <c r="AC64" s="83">
        <f ca="1">IFERROR(__xludf.DUMMYFUNCTION("""COMPUTED_VALUE"""),3)</f>
        <v>3</v>
      </c>
      <c r="AD64" s="75" t="str">
        <f ca="1">IFERROR(__xludf.DUMMYFUNCTION("""COMPUTED_VALUE"""),"Station Fail")</f>
        <v>Station Fail</v>
      </c>
      <c r="AE64" s="82">
        <f ca="1">IFERROR(__xludf.DUMMYFUNCTION("""COMPUTED_VALUE"""),1.248)</f>
        <v>1.248</v>
      </c>
      <c r="AF64" s="83">
        <f ca="1">IFERROR(__xludf.DUMMYFUNCTION("""COMPUTED_VALUE"""),3)</f>
        <v>3</v>
      </c>
      <c r="AG64" s="75" t="str">
        <f ca="1">IFERROR(__xludf.DUMMYFUNCTION("""COMPUTED_VALUE"""),"Station Fail")</f>
        <v>Station Fail</v>
      </c>
      <c r="AH64" s="82">
        <f ca="1">IFERROR(__xludf.DUMMYFUNCTION("""COMPUTED_VALUE"""),2.05714285714285)</f>
        <v>2.0571428571428498</v>
      </c>
      <c r="AI64" s="83">
        <f ca="1">IFERROR(__xludf.DUMMYFUNCTION("""COMPUTED_VALUE"""),4)</f>
        <v>4</v>
      </c>
      <c r="AJ64" s="75" t="str">
        <f ca="1">IFERROR(__xludf.DUMMYFUNCTION("""COMPUTED_VALUE"""),"Pass")</f>
        <v>Pass</v>
      </c>
      <c r="AK64" s="82">
        <f ca="1">IFERROR(__xludf.DUMMYFUNCTION("""COMPUTED_VALUE"""),2.1)</f>
        <v>2.1</v>
      </c>
      <c r="AL64" s="83">
        <f ca="1">IFERROR(__xludf.DUMMYFUNCTION("""COMPUTED_VALUE"""),4)</f>
        <v>4</v>
      </c>
      <c r="AM64" s="75" t="str">
        <f ca="1">IFERROR(__xludf.DUMMYFUNCTION("""COMPUTED_VALUE"""),"Pass")</f>
        <v>Pass</v>
      </c>
      <c r="AN64" s="82">
        <f ca="1">IFERROR(__xludf.DUMMYFUNCTION("""COMPUTED_VALUE"""),1.47692307692307)</f>
        <v>1.4769230769230699</v>
      </c>
      <c r="AO64" s="83">
        <f ca="1">IFERROR(__xludf.DUMMYFUNCTION("""COMPUTED_VALUE"""),3)</f>
        <v>3</v>
      </c>
      <c r="AP64" s="75" t="str">
        <f ca="1">IFERROR(__xludf.DUMMYFUNCTION("""COMPUTED_VALUE"""),"Pass")</f>
        <v>Pass</v>
      </c>
      <c r="AQ64" s="82"/>
      <c r="AR64" s="83"/>
      <c r="AS64" s="75"/>
      <c r="AT64" s="82"/>
      <c r="AU64" s="83"/>
      <c r="AV64" s="75"/>
      <c r="AW64" s="82"/>
      <c r="AX64" s="83"/>
      <c r="AY64" s="75"/>
      <c r="AZ64" s="82"/>
      <c r="BA64" s="83"/>
      <c r="BB64" s="75"/>
      <c r="BC64" s="82"/>
      <c r="BD64" s="83"/>
      <c r="BE64" s="75"/>
      <c r="BF64" s="82"/>
      <c r="BG64" s="83"/>
      <c r="BH64" s="75"/>
      <c r="BI64" s="46"/>
    </row>
    <row r="65" spans="1:61" ht="22.5" customHeight="1" x14ac:dyDescent="0.25">
      <c r="A65" s="46"/>
      <c r="B65" s="75"/>
      <c r="C65" s="75"/>
      <c r="D65" s="75"/>
      <c r="E65" s="75"/>
      <c r="F65" s="76"/>
      <c r="G65" s="77">
        <f ca="1">IFERROR(__xludf.DUMMYFUNCTION("""COMPUTED_VALUE"""),0)</f>
        <v>0</v>
      </c>
      <c r="H65" s="78">
        <f ca="1">IFERROR(__xludf.DUMMYFUNCTION("""COMPUTED_VALUE"""),10)</f>
        <v>10</v>
      </c>
      <c r="I65" s="79">
        <f ca="1">IFERROR(__xludf.DUMMYFUNCTION("""COMPUTED_VALUE"""),0)</f>
        <v>0</v>
      </c>
      <c r="J65" s="264"/>
      <c r="K65" s="82">
        <f ca="1">IFERROR(__xludf.DUMMYFUNCTION("""COMPUTED_VALUE"""),19.33)</f>
        <v>19.329999999999998</v>
      </c>
      <c r="L65" s="81" t="str">
        <f ca="1">IFERROR(__xludf.DUMMYFUNCTION("""COMPUTED_VALUE"""),"Pass")</f>
        <v>Pass</v>
      </c>
      <c r="M65" s="82">
        <f ca="1">IFERROR(__xludf.DUMMYFUNCTION("""COMPUTED_VALUE"""),2.1)</f>
        <v>2.1</v>
      </c>
      <c r="N65" s="83">
        <f ca="1">IFERROR(__xludf.DUMMYFUNCTION("""COMPUTED_VALUE"""),4)</f>
        <v>4</v>
      </c>
      <c r="O65" s="75" t="str">
        <f ca="1">IFERROR(__xludf.DUMMYFUNCTION("""COMPUTED_VALUE"""),"Pass")</f>
        <v>Pass</v>
      </c>
      <c r="P65" s="82">
        <f ca="1">IFERROR(__xludf.DUMMYFUNCTION("""COMPUTED_VALUE"""),2.24516129032258)</f>
        <v>2.2451612903225802</v>
      </c>
      <c r="Q65" s="83">
        <f ca="1">IFERROR(__xludf.DUMMYFUNCTION("""COMPUTED_VALUE"""),4)</f>
        <v>4</v>
      </c>
      <c r="R65" s="75" t="str">
        <f ca="1">IFERROR(__xludf.DUMMYFUNCTION("""COMPUTED_VALUE"""),"Pass")</f>
        <v>Pass</v>
      </c>
      <c r="S65" s="82">
        <f ca="1">IFERROR(__xludf.DUMMYFUNCTION("""COMPUTED_VALUE"""),2.19999999999999)</f>
        <v>2.19999999999999</v>
      </c>
      <c r="T65" s="83">
        <f ca="1">IFERROR(__xludf.DUMMYFUNCTION("""COMPUTED_VALUE"""),4)</f>
        <v>4</v>
      </c>
      <c r="U65" s="75" t="str">
        <f ca="1">IFERROR(__xludf.DUMMYFUNCTION("""COMPUTED_VALUE"""),"Pass")</f>
        <v>Pass</v>
      </c>
      <c r="V65" s="82">
        <f ca="1">IFERROR(__xludf.DUMMYFUNCTION("""COMPUTED_VALUE"""),1.68)</f>
        <v>1.68</v>
      </c>
      <c r="W65" s="83">
        <f ca="1">IFERROR(__xludf.DUMMYFUNCTION("""COMPUTED_VALUE"""),4)</f>
        <v>4</v>
      </c>
      <c r="X65" s="75" t="str">
        <f ca="1">IFERROR(__xludf.DUMMYFUNCTION("""COMPUTED_VALUE"""),"Pass")</f>
        <v>Pass</v>
      </c>
      <c r="Y65" s="82">
        <f ca="1">IFERROR(__xludf.DUMMYFUNCTION("""COMPUTED_VALUE"""),2.16)</f>
        <v>2.16</v>
      </c>
      <c r="Z65" s="83">
        <f ca="1">IFERROR(__xludf.DUMMYFUNCTION("""COMPUTED_VALUE"""),5)</f>
        <v>5</v>
      </c>
      <c r="AA65" s="75" t="str">
        <f ca="1">IFERROR(__xludf.DUMMYFUNCTION("""COMPUTED_VALUE"""),"Pass")</f>
        <v>Pass</v>
      </c>
      <c r="AB65" s="82">
        <f ca="1">IFERROR(__xludf.DUMMYFUNCTION("""COMPUTED_VALUE"""),1.59999999999999)</f>
        <v>1.5999999999999901</v>
      </c>
      <c r="AC65" s="83">
        <f ca="1">IFERROR(__xludf.DUMMYFUNCTION("""COMPUTED_VALUE"""),4)</f>
        <v>4</v>
      </c>
      <c r="AD65" s="75" t="str">
        <f ca="1">IFERROR(__xludf.DUMMYFUNCTION("""COMPUTED_VALUE"""),"Pass")</f>
        <v>Pass</v>
      </c>
      <c r="AE65" s="82">
        <f ca="1">IFERROR(__xludf.DUMMYFUNCTION("""COMPUTED_VALUE"""),1.632)</f>
        <v>1.6319999999999999</v>
      </c>
      <c r="AF65" s="83">
        <f ca="1">IFERROR(__xludf.DUMMYFUNCTION("""COMPUTED_VALUE"""),3)</f>
        <v>3</v>
      </c>
      <c r="AG65" s="75" t="str">
        <f ca="1">IFERROR(__xludf.DUMMYFUNCTION("""COMPUTED_VALUE"""),"Pass")</f>
        <v>Pass</v>
      </c>
      <c r="AH65" s="82">
        <f ca="1">IFERROR(__xludf.DUMMYFUNCTION("""COMPUTED_VALUE"""),1.98857142857142)</f>
        <v>1.98857142857142</v>
      </c>
      <c r="AI65" s="83">
        <f ca="1">IFERROR(__xludf.DUMMYFUNCTION("""COMPUTED_VALUE"""),4)</f>
        <v>4</v>
      </c>
      <c r="AJ65" s="75" t="str">
        <f ca="1">IFERROR(__xludf.DUMMYFUNCTION("""COMPUTED_VALUE"""),"Pass")</f>
        <v>Pass</v>
      </c>
      <c r="AK65" s="82">
        <f ca="1">IFERROR(__xludf.DUMMYFUNCTION("""COMPUTED_VALUE"""),2.25)</f>
        <v>2.25</v>
      </c>
      <c r="AL65" s="83">
        <f ca="1">IFERROR(__xludf.DUMMYFUNCTION("""COMPUTED_VALUE"""),5)</f>
        <v>5</v>
      </c>
      <c r="AM65" s="75" t="str">
        <f ca="1">IFERROR(__xludf.DUMMYFUNCTION("""COMPUTED_VALUE"""),"Pass")</f>
        <v>Pass</v>
      </c>
      <c r="AN65" s="82">
        <f ca="1">IFERROR(__xludf.DUMMYFUNCTION("""COMPUTED_VALUE"""),1.47692307692307)</f>
        <v>1.4769230769230699</v>
      </c>
      <c r="AO65" s="83">
        <f ca="1">IFERROR(__xludf.DUMMYFUNCTION("""COMPUTED_VALUE"""),1)</f>
        <v>1</v>
      </c>
      <c r="AP65" s="75" t="str">
        <f ca="1">IFERROR(__xludf.DUMMYFUNCTION("""COMPUTED_VALUE"""),"Pass")</f>
        <v>Pass</v>
      </c>
      <c r="AQ65" s="82"/>
      <c r="AR65" s="83"/>
      <c r="AS65" s="75"/>
      <c r="AT65" s="82"/>
      <c r="AU65" s="83"/>
      <c r="AV65" s="75"/>
      <c r="AW65" s="82"/>
      <c r="AX65" s="83"/>
      <c r="AY65" s="75"/>
      <c r="AZ65" s="82"/>
      <c r="BA65" s="83"/>
      <c r="BB65" s="75"/>
      <c r="BC65" s="82"/>
      <c r="BD65" s="83"/>
      <c r="BE65" s="75"/>
      <c r="BF65" s="82"/>
      <c r="BG65" s="83"/>
      <c r="BH65" s="75"/>
      <c r="BI65" s="46"/>
    </row>
    <row r="66" spans="1:61" ht="22.5" customHeight="1" x14ac:dyDescent="0.25">
      <c r="A66" s="46"/>
      <c r="B66" s="85"/>
      <c r="C66" s="75"/>
      <c r="D66" s="75"/>
      <c r="E66" s="75"/>
      <c r="F66" s="76"/>
      <c r="G66" s="77">
        <f ca="1">IFERROR(__xludf.DUMMYFUNCTION("""COMPUTED_VALUE"""),0)</f>
        <v>0</v>
      </c>
      <c r="H66" s="78">
        <f ca="1">IFERROR(__xludf.DUMMYFUNCTION("""COMPUTED_VALUE"""),10)</f>
        <v>10</v>
      </c>
      <c r="I66" s="79">
        <f ca="1">IFERROR(__xludf.DUMMYFUNCTION("""COMPUTED_VALUE"""),4)</f>
        <v>4</v>
      </c>
      <c r="J66" s="264"/>
      <c r="K66" s="82">
        <f ca="1">IFERROR(__xludf.DUMMYFUNCTION("""COMPUTED_VALUE"""),16.97)</f>
        <v>16.97</v>
      </c>
      <c r="L66" s="81" t="str">
        <f ca="1">IFERROR(__xludf.DUMMYFUNCTION("""COMPUTED_VALUE"""),"Pass")</f>
        <v>Pass</v>
      </c>
      <c r="M66" s="82">
        <f ca="1">IFERROR(__xludf.DUMMYFUNCTION("""COMPUTED_VALUE"""),1.34999999999999)</f>
        <v>1.3499999999999901</v>
      </c>
      <c r="N66" s="83">
        <f ca="1">IFERROR(__xludf.DUMMYFUNCTION("""COMPUTED_VALUE"""),3)</f>
        <v>3</v>
      </c>
      <c r="O66" s="75" t="str">
        <f ca="1">IFERROR(__xludf.DUMMYFUNCTION("""COMPUTED_VALUE"""),"Station Fail")</f>
        <v>Station Fail</v>
      </c>
      <c r="P66" s="82">
        <f ca="1">IFERROR(__xludf.DUMMYFUNCTION("""COMPUTED_VALUE"""),2.32258064516129)</f>
        <v>2.32258064516129</v>
      </c>
      <c r="Q66" s="83">
        <f ca="1">IFERROR(__xludf.DUMMYFUNCTION("""COMPUTED_VALUE"""),4)</f>
        <v>4</v>
      </c>
      <c r="R66" s="75" t="str">
        <f ca="1">IFERROR(__xludf.DUMMYFUNCTION("""COMPUTED_VALUE"""),"Pass")</f>
        <v>Pass</v>
      </c>
      <c r="S66" s="82">
        <f ca="1">IFERROR(__xludf.DUMMYFUNCTION("""COMPUTED_VALUE"""),1.9)</f>
        <v>1.9</v>
      </c>
      <c r="T66" s="83">
        <f ca="1">IFERROR(__xludf.DUMMYFUNCTION("""COMPUTED_VALUE"""),3)</f>
        <v>3</v>
      </c>
      <c r="U66" s="75" t="str">
        <f ca="1">IFERROR(__xludf.DUMMYFUNCTION("""COMPUTED_VALUE"""),"Pass")</f>
        <v>Pass</v>
      </c>
      <c r="V66" s="82">
        <f ca="1">IFERROR(__xludf.DUMMYFUNCTION("""COMPUTED_VALUE"""),2.4)</f>
        <v>2.4</v>
      </c>
      <c r="W66" s="83">
        <f ca="1">IFERROR(__xludf.DUMMYFUNCTION("""COMPUTED_VALUE"""),5)</f>
        <v>5</v>
      </c>
      <c r="X66" s="75" t="str">
        <f ca="1">IFERROR(__xludf.DUMMYFUNCTION("""COMPUTED_VALUE"""),"Pass")</f>
        <v>Pass</v>
      </c>
      <c r="Y66" s="82">
        <f ca="1">IFERROR(__xludf.DUMMYFUNCTION("""COMPUTED_VALUE"""),1.79999999999999)</f>
        <v>1.7999999999999901</v>
      </c>
      <c r="Z66" s="83">
        <f ca="1">IFERROR(__xludf.DUMMYFUNCTION("""COMPUTED_VALUE"""),5)</f>
        <v>5</v>
      </c>
      <c r="AA66" s="75" t="str">
        <f ca="1">IFERROR(__xludf.DUMMYFUNCTION("""COMPUTED_VALUE"""),"Pass")</f>
        <v>Pass</v>
      </c>
      <c r="AB66" s="82">
        <f ca="1">IFERROR(__xludf.DUMMYFUNCTION("""COMPUTED_VALUE"""),0.899999999999999)</f>
        <v>0.89999999999999902</v>
      </c>
      <c r="AC66" s="83">
        <f ca="1">IFERROR(__xludf.DUMMYFUNCTION("""COMPUTED_VALUE"""),2)</f>
        <v>2</v>
      </c>
      <c r="AD66" s="75" t="str">
        <f ca="1">IFERROR(__xludf.DUMMYFUNCTION("""COMPUTED_VALUE"""),"Station Fail")</f>
        <v>Station Fail</v>
      </c>
      <c r="AE66" s="82">
        <f ca="1">IFERROR(__xludf.DUMMYFUNCTION("""COMPUTED_VALUE"""),2.112)</f>
        <v>2.1120000000000001</v>
      </c>
      <c r="AF66" s="83">
        <f ca="1">IFERROR(__xludf.DUMMYFUNCTION("""COMPUTED_VALUE"""),5)</f>
        <v>5</v>
      </c>
      <c r="AG66" s="75" t="str">
        <f ca="1">IFERROR(__xludf.DUMMYFUNCTION("""COMPUTED_VALUE"""),"Pass")</f>
        <v>Pass</v>
      </c>
      <c r="AH66" s="82">
        <f ca="1">IFERROR(__xludf.DUMMYFUNCTION("""COMPUTED_VALUE"""),1.16571428571428)</f>
        <v>1.1657142857142799</v>
      </c>
      <c r="AI66" s="83">
        <f ca="1">IFERROR(__xludf.DUMMYFUNCTION("""COMPUTED_VALUE"""),2)</f>
        <v>2</v>
      </c>
      <c r="AJ66" s="75" t="str">
        <f ca="1">IFERROR(__xludf.DUMMYFUNCTION("""COMPUTED_VALUE"""),"Station Fail")</f>
        <v>Station Fail</v>
      </c>
      <c r="AK66" s="82">
        <f ca="1">IFERROR(__xludf.DUMMYFUNCTION("""COMPUTED_VALUE"""),2.1)</f>
        <v>2.1</v>
      </c>
      <c r="AL66" s="83">
        <f ca="1">IFERROR(__xludf.DUMMYFUNCTION("""COMPUTED_VALUE"""),3)</f>
        <v>3</v>
      </c>
      <c r="AM66" s="75" t="str">
        <f ca="1">IFERROR(__xludf.DUMMYFUNCTION("""COMPUTED_VALUE"""),"Pass")</f>
        <v>Pass</v>
      </c>
      <c r="AN66" s="82">
        <f ca="1">IFERROR(__xludf.DUMMYFUNCTION("""COMPUTED_VALUE"""),0.923076923076923)</f>
        <v>0.92307692307692302</v>
      </c>
      <c r="AO66" s="83">
        <f ca="1">IFERROR(__xludf.DUMMYFUNCTION("""COMPUTED_VALUE"""),2)</f>
        <v>2</v>
      </c>
      <c r="AP66" s="75" t="str">
        <f ca="1">IFERROR(__xludf.DUMMYFUNCTION("""COMPUTED_VALUE"""),"Station Fail")</f>
        <v>Station Fail</v>
      </c>
      <c r="AQ66" s="82"/>
      <c r="AR66" s="83"/>
      <c r="AS66" s="75"/>
      <c r="AT66" s="82"/>
      <c r="AU66" s="83"/>
      <c r="AV66" s="75"/>
      <c r="AW66" s="82"/>
      <c r="AX66" s="83"/>
      <c r="AY66" s="75"/>
      <c r="AZ66" s="82"/>
      <c r="BA66" s="83"/>
      <c r="BB66" s="75"/>
      <c r="BC66" s="82"/>
      <c r="BD66" s="83"/>
      <c r="BE66" s="75"/>
      <c r="BF66" s="82"/>
      <c r="BG66" s="83"/>
      <c r="BH66" s="75"/>
      <c r="BI66" s="46"/>
    </row>
    <row r="67" spans="1:61" ht="22.5" customHeight="1" x14ac:dyDescent="0.25">
      <c r="A67" s="46"/>
      <c r="B67" s="85"/>
      <c r="C67" s="75"/>
      <c r="D67" s="75"/>
      <c r="E67" s="75"/>
      <c r="F67" s="76"/>
      <c r="G67" s="77">
        <f ca="1">IFERROR(__xludf.DUMMYFUNCTION("""COMPUTED_VALUE"""),0)</f>
        <v>0</v>
      </c>
      <c r="H67" s="78">
        <f ca="1">IFERROR(__xludf.DUMMYFUNCTION("""COMPUTED_VALUE"""),10)</f>
        <v>10</v>
      </c>
      <c r="I67" s="79">
        <f ca="1">IFERROR(__xludf.DUMMYFUNCTION("""COMPUTED_VALUE"""),5)</f>
        <v>5</v>
      </c>
      <c r="J67" s="264"/>
      <c r="K67" s="82">
        <f ca="1">IFERROR(__xludf.DUMMYFUNCTION("""COMPUTED_VALUE"""),12.13)</f>
        <v>12.13</v>
      </c>
      <c r="L67" s="81" t="str">
        <f ca="1">IFERROR(__xludf.DUMMYFUNCTION("""COMPUTED_VALUE"""),"Fail")</f>
        <v>Fail</v>
      </c>
      <c r="M67" s="82">
        <f ca="1">IFERROR(__xludf.DUMMYFUNCTION("""COMPUTED_VALUE"""),1.425)</f>
        <v>1.425</v>
      </c>
      <c r="N67" s="83">
        <f ca="1">IFERROR(__xludf.DUMMYFUNCTION("""COMPUTED_VALUE"""),2)</f>
        <v>2</v>
      </c>
      <c r="O67" s="75" t="str">
        <f ca="1">IFERROR(__xludf.DUMMYFUNCTION("""COMPUTED_VALUE"""),"Station Fail")</f>
        <v>Station Fail</v>
      </c>
      <c r="P67" s="82">
        <f ca="1">IFERROR(__xludf.DUMMYFUNCTION("""COMPUTED_VALUE"""),1.54838709677419)</f>
        <v>1.54838709677419</v>
      </c>
      <c r="Q67" s="83">
        <f ca="1">IFERROR(__xludf.DUMMYFUNCTION("""COMPUTED_VALUE"""),3)</f>
        <v>3</v>
      </c>
      <c r="R67" s="75" t="str">
        <f ca="1">IFERROR(__xludf.DUMMYFUNCTION("""COMPUTED_VALUE"""),"Pass")</f>
        <v>Pass</v>
      </c>
      <c r="S67" s="82">
        <f ca="1">IFERROR(__xludf.DUMMYFUNCTION("""COMPUTED_VALUE"""),0.799999999999999)</f>
        <v>0.79999999999999905</v>
      </c>
      <c r="T67" s="83">
        <f ca="1">IFERROR(__xludf.DUMMYFUNCTION("""COMPUTED_VALUE"""),1)</f>
        <v>1</v>
      </c>
      <c r="U67" s="75" t="str">
        <f ca="1">IFERROR(__xludf.DUMMYFUNCTION("""COMPUTED_VALUE"""),"Station Fail")</f>
        <v>Station Fail</v>
      </c>
      <c r="V67" s="82">
        <f ca="1">IFERROR(__xludf.DUMMYFUNCTION("""COMPUTED_VALUE"""),1.92)</f>
        <v>1.92</v>
      </c>
      <c r="W67" s="83">
        <f ca="1">IFERROR(__xludf.DUMMYFUNCTION("""COMPUTED_VALUE"""),4)</f>
        <v>4</v>
      </c>
      <c r="X67" s="75" t="str">
        <f ca="1">IFERROR(__xludf.DUMMYFUNCTION("""COMPUTED_VALUE"""),"Pass")</f>
        <v>Pass</v>
      </c>
      <c r="Y67" s="82">
        <f ca="1">IFERROR(__xludf.DUMMYFUNCTION("""COMPUTED_VALUE"""),2.28)</f>
        <v>2.2799999999999998</v>
      </c>
      <c r="Z67" s="83">
        <f ca="1">IFERROR(__xludf.DUMMYFUNCTION("""COMPUTED_VALUE"""),5)</f>
        <v>5</v>
      </c>
      <c r="AA67" s="75" t="str">
        <f ca="1">IFERROR(__xludf.DUMMYFUNCTION("""COMPUTED_VALUE"""),"Pass")</f>
        <v>Pass</v>
      </c>
      <c r="AB67" s="82">
        <f ca="1">IFERROR(__xludf.DUMMYFUNCTION("""COMPUTED_VALUE"""),0.3)</f>
        <v>0.3</v>
      </c>
      <c r="AC67" s="83">
        <f ca="1">IFERROR(__xludf.DUMMYFUNCTION("""COMPUTED_VALUE"""),1)</f>
        <v>1</v>
      </c>
      <c r="AD67" s="75" t="str">
        <f ca="1">IFERROR(__xludf.DUMMYFUNCTION("""COMPUTED_VALUE"""),"Station Fail")</f>
        <v>Station Fail</v>
      </c>
      <c r="AE67" s="82">
        <f ca="1">IFERROR(__xludf.DUMMYFUNCTION("""COMPUTED_VALUE"""),1.536)</f>
        <v>1.536</v>
      </c>
      <c r="AF67" s="83">
        <f ca="1">IFERROR(__xludf.DUMMYFUNCTION("""COMPUTED_VALUE"""),3)</f>
        <v>3</v>
      </c>
      <c r="AG67" s="75" t="str">
        <f ca="1">IFERROR(__xludf.DUMMYFUNCTION("""COMPUTED_VALUE"""),"Pass")</f>
        <v>Pass</v>
      </c>
      <c r="AH67" s="82">
        <f ca="1">IFERROR(__xludf.DUMMYFUNCTION("""COMPUTED_VALUE"""),0.822857142857142)</f>
        <v>0.82285714285714195</v>
      </c>
      <c r="AI67" s="83">
        <f ca="1">IFERROR(__xludf.DUMMYFUNCTION("""COMPUTED_VALUE"""),2)</f>
        <v>2</v>
      </c>
      <c r="AJ67" s="75" t="str">
        <f ca="1">IFERROR(__xludf.DUMMYFUNCTION("""COMPUTED_VALUE"""),"Station Fail")</f>
        <v>Station Fail</v>
      </c>
      <c r="AK67" s="82">
        <f ca="1">IFERROR(__xludf.DUMMYFUNCTION("""COMPUTED_VALUE"""),1.5)</f>
        <v>1.5</v>
      </c>
      <c r="AL67" s="83">
        <f ca="1">IFERROR(__xludf.DUMMYFUNCTION("""COMPUTED_VALUE"""),3)</f>
        <v>3</v>
      </c>
      <c r="AM67" s="75" t="str">
        <f ca="1">IFERROR(__xludf.DUMMYFUNCTION("""COMPUTED_VALUE"""),"Pass")</f>
        <v>Pass</v>
      </c>
      <c r="AN67" s="82">
        <f ca="1">IFERROR(__xludf.DUMMYFUNCTION("""COMPUTED_VALUE"""),0)</f>
        <v>0</v>
      </c>
      <c r="AO67" s="83">
        <f ca="1">IFERROR(__xludf.DUMMYFUNCTION("""COMPUTED_VALUE"""),1)</f>
        <v>1</v>
      </c>
      <c r="AP67" s="75" t="str">
        <f ca="1">IFERROR(__xludf.DUMMYFUNCTION("""COMPUTED_VALUE"""),"Station Fail")</f>
        <v>Station Fail</v>
      </c>
      <c r="AQ67" s="82"/>
      <c r="AR67" s="83"/>
      <c r="AS67" s="75"/>
      <c r="AT67" s="82"/>
      <c r="AU67" s="83"/>
      <c r="AV67" s="75"/>
      <c r="AW67" s="82"/>
      <c r="AX67" s="83"/>
      <c r="AY67" s="75"/>
      <c r="AZ67" s="82"/>
      <c r="BA67" s="83"/>
      <c r="BB67" s="75"/>
      <c r="BC67" s="82"/>
      <c r="BD67" s="83"/>
      <c r="BE67" s="75"/>
      <c r="BF67" s="82"/>
      <c r="BG67" s="83"/>
      <c r="BH67" s="75"/>
      <c r="BI67" s="46"/>
    </row>
    <row r="68" spans="1:61" ht="22.5" customHeight="1" x14ac:dyDescent="0.25">
      <c r="A68" s="46"/>
      <c r="B68" s="85"/>
      <c r="C68" s="75"/>
      <c r="D68" s="75"/>
      <c r="E68" s="75"/>
      <c r="F68" s="76"/>
      <c r="G68" s="77">
        <f ca="1">IFERROR(__xludf.DUMMYFUNCTION("""COMPUTED_VALUE"""),0)</f>
        <v>0</v>
      </c>
      <c r="H68" s="78">
        <f ca="1">IFERROR(__xludf.DUMMYFUNCTION("""COMPUTED_VALUE"""),10)</f>
        <v>10</v>
      </c>
      <c r="I68" s="79">
        <f ca="1">IFERROR(__xludf.DUMMYFUNCTION("""COMPUTED_VALUE"""),0)</f>
        <v>0</v>
      </c>
      <c r="J68" s="264"/>
      <c r="K68" s="82">
        <f ca="1">IFERROR(__xludf.DUMMYFUNCTION("""COMPUTED_VALUE"""),20.21)</f>
        <v>20.21</v>
      </c>
      <c r="L68" s="81" t="str">
        <f ca="1">IFERROR(__xludf.DUMMYFUNCTION("""COMPUTED_VALUE"""),"Pass")</f>
        <v>Pass</v>
      </c>
      <c r="M68" s="82">
        <f ca="1">IFERROR(__xludf.DUMMYFUNCTION("""COMPUTED_VALUE"""),1.575)</f>
        <v>1.575</v>
      </c>
      <c r="N68" s="83">
        <f ca="1">IFERROR(__xludf.DUMMYFUNCTION("""COMPUTED_VALUE"""),3)</f>
        <v>3</v>
      </c>
      <c r="O68" s="75" t="str">
        <f ca="1">IFERROR(__xludf.DUMMYFUNCTION("""COMPUTED_VALUE"""),"Pass")</f>
        <v>Pass</v>
      </c>
      <c r="P68" s="82">
        <f ca="1">IFERROR(__xludf.DUMMYFUNCTION("""COMPUTED_VALUE"""),2.32258064516129)</f>
        <v>2.32258064516129</v>
      </c>
      <c r="Q68" s="83">
        <f ca="1">IFERROR(__xludf.DUMMYFUNCTION("""COMPUTED_VALUE"""),5)</f>
        <v>5</v>
      </c>
      <c r="R68" s="75" t="str">
        <f ca="1">IFERROR(__xludf.DUMMYFUNCTION("""COMPUTED_VALUE"""),"Pass")</f>
        <v>Pass</v>
      </c>
      <c r="S68" s="82">
        <f ca="1">IFERROR(__xludf.DUMMYFUNCTION("""COMPUTED_VALUE"""),2)</f>
        <v>2</v>
      </c>
      <c r="T68" s="83">
        <f ca="1">IFERROR(__xludf.DUMMYFUNCTION("""COMPUTED_VALUE"""),4)</f>
        <v>4</v>
      </c>
      <c r="U68" s="75" t="str">
        <f ca="1">IFERROR(__xludf.DUMMYFUNCTION("""COMPUTED_VALUE"""),"Pass")</f>
        <v>Pass</v>
      </c>
      <c r="V68" s="82">
        <f ca="1">IFERROR(__xludf.DUMMYFUNCTION("""COMPUTED_VALUE"""),2.28)</f>
        <v>2.2799999999999998</v>
      </c>
      <c r="W68" s="83">
        <f ca="1">IFERROR(__xludf.DUMMYFUNCTION("""COMPUTED_VALUE"""),4)</f>
        <v>4</v>
      </c>
      <c r="X68" s="75" t="str">
        <f ca="1">IFERROR(__xludf.DUMMYFUNCTION("""COMPUTED_VALUE"""),"Pass")</f>
        <v>Pass</v>
      </c>
      <c r="Y68" s="82">
        <f ca="1">IFERROR(__xludf.DUMMYFUNCTION("""COMPUTED_VALUE"""),2.04)</f>
        <v>2.04</v>
      </c>
      <c r="Z68" s="83">
        <f ca="1">IFERROR(__xludf.DUMMYFUNCTION("""COMPUTED_VALUE"""),5)</f>
        <v>5</v>
      </c>
      <c r="AA68" s="75" t="str">
        <f ca="1">IFERROR(__xludf.DUMMYFUNCTION("""COMPUTED_VALUE"""),"Pass")</f>
        <v>Pass</v>
      </c>
      <c r="AB68" s="82">
        <f ca="1">IFERROR(__xludf.DUMMYFUNCTION("""COMPUTED_VALUE"""),2.4)</f>
        <v>2.4</v>
      </c>
      <c r="AC68" s="83">
        <f ca="1">IFERROR(__xludf.DUMMYFUNCTION("""COMPUTED_VALUE"""),5)</f>
        <v>5</v>
      </c>
      <c r="AD68" s="75" t="str">
        <f ca="1">IFERROR(__xludf.DUMMYFUNCTION("""COMPUTED_VALUE"""),"Pass")</f>
        <v>Pass</v>
      </c>
      <c r="AE68" s="82">
        <f ca="1">IFERROR(__xludf.DUMMYFUNCTION("""COMPUTED_VALUE"""),2.4)</f>
        <v>2.4</v>
      </c>
      <c r="AF68" s="83">
        <f ca="1">IFERROR(__xludf.DUMMYFUNCTION("""COMPUTED_VALUE"""),4)</f>
        <v>4</v>
      </c>
      <c r="AG68" s="75" t="str">
        <f ca="1">IFERROR(__xludf.DUMMYFUNCTION("""COMPUTED_VALUE"""),"Pass")</f>
        <v>Pass</v>
      </c>
      <c r="AH68" s="82">
        <f ca="1">IFERROR(__xludf.DUMMYFUNCTION("""COMPUTED_VALUE"""),1.57714285714285)</f>
        <v>1.5771428571428501</v>
      </c>
      <c r="AI68" s="83">
        <f ca="1">IFERROR(__xludf.DUMMYFUNCTION("""COMPUTED_VALUE"""),3)</f>
        <v>3</v>
      </c>
      <c r="AJ68" s="75" t="str">
        <f ca="1">IFERROR(__xludf.DUMMYFUNCTION("""COMPUTED_VALUE"""),"Pass")</f>
        <v>Pass</v>
      </c>
      <c r="AK68" s="82">
        <f ca="1">IFERROR(__xludf.DUMMYFUNCTION("""COMPUTED_VALUE"""),1.95)</f>
        <v>1.95</v>
      </c>
      <c r="AL68" s="83">
        <f ca="1">IFERROR(__xludf.DUMMYFUNCTION("""COMPUTED_VALUE"""),3)</f>
        <v>3</v>
      </c>
      <c r="AM68" s="75" t="str">
        <f ca="1">IFERROR(__xludf.DUMMYFUNCTION("""COMPUTED_VALUE"""),"Pass")</f>
        <v>Pass</v>
      </c>
      <c r="AN68" s="82">
        <f ca="1">IFERROR(__xludf.DUMMYFUNCTION("""COMPUTED_VALUE"""),1.66153846153846)</f>
        <v>1.6615384615384601</v>
      </c>
      <c r="AO68" s="83">
        <f ca="1">IFERROR(__xludf.DUMMYFUNCTION("""COMPUTED_VALUE"""),3)</f>
        <v>3</v>
      </c>
      <c r="AP68" s="75" t="str">
        <f ca="1">IFERROR(__xludf.DUMMYFUNCTION("""COMPUTED_VALUE"""),"Pass")</f>
        <v>Pass</v>
      </c>
      <c r="AQ68" s="82"/>
      <c r="AR68" s="83"/>
      <c r="AS68" s="75"/>
      <c r="AT68" s="82"/>
      <c r="AU68" s="83"/>
      <c r="AV68" s="75"/>
      <c r="AW68" s="82"/>
      <c r="AX68" s="83"/>
      <c r="AY68" s="75"/>
      <c r="AZ68" s="82"/>
      <c r="BA68" s="83"/>
      <c r="BB68" s="75"/>
      <c r="BC68" s="82"/>
      <c r="BD68" s="83"/>
      <c r="BE68" s="75"/>
      <c r="BF68" s="82"/>
      <c r="BG68" s="83"/>
      <c r="BH68" s="75"/>
      <c r="BI68" s="46"/>
    </row>
    <row r="69" spans="1:61" ht="22.5" customHeight="1" x14ac:dyDescent="0.25">
      <c r="A69" s="46"/>
      <c r="B69" s="85"/>
      <c r="C69" s="75"/>
      <c r="D69" s="75"/>
      <c r="E69" s="75"/>
      <c r="F69" s="76"/>
      <c r="G69" s="77">
        <f ca="1">IFERROR(__xludf.DUMMYFUNCTION("""COMPUTED_VALUE"""),0)</f>
        <v>0</v>
      </c>
      <c r="H69" s="78">
        <f ca="1">IFERROR(__xludf.DUMMYFUNCTION("""COMPUTED_VALUE"""),10)</f>
        <v>10</v>
      </c>
      <c r="I69" s="79">
        <f ca="1">IFERROR(__xludf.DUMMYFUNCTION("""COMPUTED_VALUE"""),2)</f>
        <v>2</v>
      </c>
      <c r="J69" s="264"/>
      <c r="K69" s="82">
        <f ca="1">IFERROR(__xludf.DUMMYFUNCTION("""COMPUTED_VALUE"""),17.61)</f>
        <v>17.61</v>
      </c>
      <c r="L69" s="81" t="str">
        <f ca="1">IFERROR(__xludf.DUMMYFUNCTION("""COMPUTED_VALUE"""),"Pass")</f>
        <v>Pass</v>
      </c>
      <c r="M69" s="82">
        <f ca="1">IFERROR(__xludf.DUMMYFUNCTION("""COMPUTED_VALUE"""),2.1)</f>
        <v>2.1</v>
      </c>
      <c r="N69" s="83">
        <f ca="1">IFERROR(__xludf.DUMMYFUNCTION("""COMPUTED_VALUE"""),4)</f>
        <v>4</v>
      </c>
      <c r="O69" s="75" t="str">
        <f ca="1">IFERROR(__xludf.DUMMYFUNCTION("""COMPUTED_VALUE"""),"Pass")</f>
        <v>Pass</v>
      </c>
      <c r="P69" s="82">
        <f ca="1">IFERROR(__xludf.DUMMYFUNCTION("""COMPUTED_VALUE"""),2.16774193548387)</f>
        <v>2.1677419354838698</v>
      </c>
      <c r="Q69" s="83">
        <f ca="1">IFERROR(__xludf.DUMMYFUNCTION("""COMPUTED_VALUE"""),4)</f>
        <v>4</v>
      </c>
      <c r="R69" s="75" t="str">
        <f ca="1">IFERROR(__xludf.DUMMYFUNCTION("""COMPUTED_VALUE"""),"Pass")</f>
        <v>Pass</v>
      </c>
      <c r="S69" s="82">
        <f ca="1">IFERROR(__xludf.DUMMYFUNCTION("""COMPUTED_VALUE"""),2.19999999999999)</f>
        <v>2.19999999999999</v>
      </c>
      <c r="T69" s="83">
        <f ca="1">IFERROR(__xludf.DUMMYFUNCTION("""COMPUTED_VALUE"""),4)</f>
        <v>4</v>
      </c>
      <c r="U69" s="75" t="str">
        <f ca="1">IFERROR(__xludf.DUMMYFUNCTION("""COMPUTED_VALUE"""),"Pass")</f>
        <v>Pass</v>
      </c>
      <c r="V69" s="82">
        <f ca="1">IFERROR(__xludf.DUMMYFUNCTION("""COMPUTED_VALUE"""),1.56)</f>
        <v>1.56</v>
      </c>
      <c r="W69" s="83">
        <f ca="1">IFERROR(__xludf.DUMMYFUNCTION("""COMPUTED_VALUE"""),3)</f>
        <v>3</v>
      </c>
      <c r="X69" s="75" t="str">
        <f ca="1">IFERROR(__xludf.DUMMYFUNCTION("""COMPUTED_VALUE"""),"Pass")</f>
        <v>Pass</v>
      </c>
      <c r="Y69" s="82">
        <f ca="1">IFERROR(__xludf.DUMMYFUNCTION("""COMPUTED_VALUE"""),1.68)</f>
        <v>1.68</v>
      </c>
      <c r="Z69" s="83">
        <f ca="1">IFERROR(__xludf.DUMMYFUNCTION("""COMPUTED_VALUE"""),4)</f>
        <v>4</v>
      </c>
      <c r="AA69" s="75" t="str">
        <f ca="1">IFERROR(__xludf.DUMMYFUNCTION("""COMPUTED_VALUE"""),"Pass")</f>
        <v>Pass</v>
      </c>
      <c r="AB69" s="82">
        <f ca="1">IFERROR(__xludf.DUMMYFUNCTION("""COMPUTED_VALUE"""),1.79999999999999)</f>
        <v>1.7999999999999901</v>
      </c>
      <c r="AC69" s="83">
        <f ca="1">IFERROR(__xludf.DUMMYFUNCTION("""COMPUTED_VALUE"""),4)</f>
        <v>4</v>
      </c>
      <c r="AD69" s="75" t="str">
        <f ca="1">IFERROR(__xludf.DUMMYFUNCTION("""COMPUTED_VALUE"""),"Pass")</f>
        <v>Pass</v>
      </c>
      <c r="AE69" s="82">
        <f ca="1">IFERROR(__xludf.DUMMYFUNCTION("""COMPUTED_VALUE"""),1.44)</f>
        <v>1.44</v>
      </c>
      <c r="AF69" s="83">
        <f ca="1">IFERROR(__xludf.DUMMYFUNCTION("""COMPUTED_VALUE"""),4)</f>
        <v>4</v>
      </c>
      <c r="AG69" s="75" t="str">
        <f ca="1">IFERROR(__xludf.DUMMYFUNCTION("""COMPUTED_VALUE"""),"Pass")</f>
        <v>Pass</v>
      </c>
      <c r="AH69" s="82">
        <f ca="1">IFERROR(__xludf.DUMMYFUNCTION("""COMPUTED_VALUE"""),1.30285714285714)</f>
        <v>1.30285714285714</v>
      </c>
      <c r="AI69" s="83">
        <f ca="1">IFERROR(__xludf.DUMMYFUNCTION("""COMPUTED_VALUE"""),3)</f>
        <v>3</v>
      </c>
      <c r="AJ69" s="75" t="str">
        <f ca="1">IFERROR(__xludf.DUMMYFUNCTION("""COMPUTED_VALUE"""),"Station Fail")</f>
        <v>Station Fail</v>
      </c>
      <c r="AK69" s="82">
        <f ca="1">IFERROR(__xludf.DUMMYFUNCTION("""COMPUTED_VALUE"""),2.25)</f>
        <v>2.25</v>
      </c>
      <c r="AL69" s="83">
        <f ca="1">IFERROR(__xludf.DUMMYFUNCTION("""COMPUTED_VALUE"""),5)</f>
        <v>5</v>
      </c>
      <c r="AM69" s="75" t="str">
        <f ca="1">IFERROR(__xludf.DUMMYFUNCTION("""COMPUTED_VALUE"""),"Pass")</f>
        <v>Pass</v>
      </c>
      <c r="AN69" s="82">
        <f ca="1">IFERROR(__xludf.DUMMYFUNCTION("""COMPUTED_VALUE"""),1.1076923076923)</f>
        <v>1.1076923076923</v>
      </c>
      <c r="AO69" s="83">
        <f ca="1">IFERROR(__xludf.DUMMYFUNCTION("""COMPUTED_VALUE"""),2)</f>
        <v>2</v>
      </c>
      <c r="AP69" s="75" t="str">
        <f ca="1">IFERROR(__xludf.DUMMYFUNCTION("""COMPUTED_VALUE"""),"Station Fail")</f>
        <v>Station Fail</v>
      </c>
      <c r="AQ69" s="82"/>
      <c r="AR69" s="83"/>
      <c r="AS69" s="75"/>
      <c r="AT69" s="82"/>
      <c r="AU69" s="83"/>
      <c r="AV69" s="75"/>
      <c r="AW69" s="82"/>
      <c r="AX69" s="83"/>
      <c r="AY69" s="75"/>
      <c r="AZ69" s="82"/>
      <c r="BA69" s="83"/>
      <c r="BB69" s="75"/>
      <c r="BC69" s="82"/>
      <c r="BD69" s="83"/>
      <c r="BE69" s="75"/>
      <c r="BF69" s="82"/>
      <c r="BG69" s="83"/>
      <c r="BH69" s="75"/>
      <c r="BI69" s="46"/>
    </row>
    <row r="70" spans="1:61" ht="22.5" customHeight="1" x14ac:dyDescent="0.25">
      <c r="A70" s="46"/>
      <c r="B70" s="85"/>
      <c r="C70" s="75"/>
      <c r="D70" s="75"/>
      <c r="E70" s="75"/>
      <c r="F70" s="76"/>
      <c r="G70" s="77">
        <f ca="1">IFERROR(__xludf.DUMMYFUNCTION("""COMPUTED_VALUE"""),0)</f>
        <v>0</v>
      </c>
      <c r="H70" s="78">
        <f ca="1">IFERROR(__xludf.DUMMYFUNCTION("""COMPUTED_VALUE"""),10)</f>
        <v>10</v>
      </c>
      <c r="I70" s="79">
        <f ca="1">IFERROR(__xludf.DUMMYFUNCTION("""COMPUTED_VALUE"""),2)</f>
        <v>2</v>
      </c>
      <c r="J70" s="264"/>
      <c r="K70" s="82">
        <f ca="1">IFERROR(__xludf.DUMMYFUNCTION("""COMPUTED_VALUE"""),16.37)</f>
        <v>16.37</v>
      </c>
      <c r="L70" s="81" t="str">
        <f ca="1">IFERROR(__xludf.DUMMYFUNCTION("""COMPUTED_VALUE"""),"Pass")</f>
        <v>Pass</v>
      </c>
      <c r="M70" s="82">
        <f ca="1">IFERROR(__xludf.DUMMYFUNCTION("""COMPUTED_VALUE"""),2.25)</f>
        <v>2.25</v>
      </c>
      <c r="N70" s="83">
        <f ca="1">IFERROR(__xludf.DUMMYFUNCTION("""COMPUTED_VALUE"""),4)</f>
        <v>4</v>
      </c>
      <c r="O70" s="75" t="str">
        <f ca="1">IFERROR(__xludf.DUMMYFUNCTION("""COMPUTED_VALUE"""),"Pass")</f>
        <v>Pass</v>
      </c>
      <c r="P70" s="82">
        <f ca="1">IFERROR(__xludf.DUMMYFUNCTION("""COMPUTED_VALUE"""),2.16774193548387)</f>
        <v>2.1677419354838698</v>
      </c>
      <c r="Q70" s="83">
        <f ca="1">IFERROR(__xludf.DUMMYFUNCTION("""COMPUTED_VALUE"""),4)</f>
        <v>4</v>
      </c>
      <c r="R70" s="75" t="str">
        <f ca="1">IFERROR(__xludf.DUMMYFUNCTION("""COMPUTED_VALUE"""),"Pass")</f>
        <v>Pass</v>
      </c>
      <c r="S70" s="82">
        <f ca="1">IFERROR(__xludf.DUMMYFUNCTION("""COMPUTED_VALUE"""),1.59999999999999)</f>
        <v>1.5999999999999901</v>
      </c>
      <c r="T70" s="83">
        <f ca="1">IFERROR(__xludf.DUMMYFUNCTION("""COMPUTED_VALUE"""),3)</f>
        <v>3</v>
      </c>
      <c r="U70" s="75" t="str">
        <f ca="1">IFERROR(__xludf.DUMMYFUNCTION("""COMPUTED_VALUE"""),"Pass")</f>
        <v>Pass</v>
      </c>
      <c r="V70" s="82">
        <f ca="1">IFERROR(__xludf.DUMMYFUNCTION("""COMPUTED_VALUE"""),1.44)</f>
        <v>1.44</v>
      </c>
      <c r="W70" s="83">
        <f ca="1">IFERROR(__xludf.DUMMYFUNCTION("""COMPUTED_VALUE"""),4)</f>
        <v>4</v>
      </c>
      <c r="X70" s="75" t="str">
        <f ca="1">IFERROR(__xludf.DUMMYFUNCTION("""COMPUTED_VALUE"""),"Pass")</f>
        <v>Pass</v>
      </c>
      <c r="Y70" s="82">
        <f ca="1">IFERROR(__xludf.DUMMYFUNCTION("""COMPUTED_VALUE"""),2.04)</f>
        <v>2.04</v>
      </c>
      <c r="Z70" s="83">
        <f ca="1">IFERROR(__xludf.DUMMYFUNCTION("""COMPUTED_VALUE"""),5)</f>
        <v>5</v>
      </c>
      <c r="AA70" s="75" t="str">
        <f ca="1">IFERROR(__xludf.DUMMYFUNCTION("""COMPUTED_VALUE"""),"Pass")</f>
        <v>Pass</v>
      </c>
      <c r="AB70" s="82">
        <f ca="1">IFERROR(__xludf.DUMMYFUNCTION("""COMPUTED_VALUE"""),1.29999999999999)</f>
        <v>1.2999999999999901</v>
      </c>
      <c r="AC70" s="83">
        <f ca="1">IFERROR(__xludf.DUMMYFUNCTION("""COMPUTED_VALUE"""),3)</f>
        <v>3</v>
      </c>
      <c r="AD70" s="75" t="str">
        <f ca="1">IFERROR(__xludf.DUMMYFUNCTION("""COMPUTED_VALUE"""),"Station Fail")</f>
        <v>Station Fail</v>
      </c>
      <c r="AE70" s="82">
        <f ca="1">IFERROR(__xludf.DUMMYFUNCTION("""COMPUTED_VALUE"""),1.632)</f>
        <v>1.6319999999999999</v>
      </c>
      <c r="AF70" s="83">
        <f ca="1">IFERROR(__xludf.DUMMYFUNCTION("""COMPUTED_VALUE"""),3)</f>
        <v>3</v>
      </c>
      <c r="AG70" s="75" t="str">
        <f ca="1">IFERROR(__xludf.DUMMYFUNCTION("""COMPUTED_VALUE"""),"Pass")</f>
        <v>Pass</v>
      </c>
      <c r="AH70" s="82">
        <f ca="1">IFERROR(__xludf.DUMMYFUNCTION("""COMPUTED_VALUE"""),1.57714285714285)</f>
        <v>1.5771428571428501</v>
      </c>
      <c r="AI70" s="83">
        <f ca="1">IFERROR(__xludf.DUMMYFUNCTION("""COMPUTED_VALUE"""),3)</f>
        <v>3</v>
      </c>
      <c r="AJ70" s="75" t="str">
        <f ca="1">IFERROR(__xludf.DUMMYFUNCTION("""COMPUTED_VALUE"""),"Pass")</f>
        <v>Pass</v>
      </c>
      <c r="AK70" s="82">
        <f ca="1">IFERROR(__xludf.DUMMYFUNCTION("""COMPUTED_VALUE"""),2.175)</f>
        <v>2.1749999999999998</v>
      </c>
      <c r="AL70" s="83">
        <f ca="1">IFERROR(__xludf.DUMMYFUNCTION("""COMPUTED_VALUE"""),4)</f>
        <v>4</v>
      </c>
      <c r="AM70" s="75" t="str">
        <f ca="1">IFERROR(__xludf.DUMMYFUNCTION("""COMPUTED_VALUE"""),"Pass")</f>
        <v>Pass</v>
      </c>
      <c r="AN70" s="82">
        <f ca="1">IFERROR(__xludf.DUMMYFUNCTION("""COMPUTED_VALUE"""),0.184615384615384)</f>
        <v>0.18461538461538399</v>
      </c>
      <c r="AO70" s="83">
        <f ca="1">IFERROR(__xludf.DUMMYFUNCTION("""COMPUTED_VALUE"""),1)</f>
        <v>1</v>
      </c>
      <c r="AP70" s="75" t="str">
        <f ca="1">IFERROR(__xludf.DUMMYFUNCTION("""COMPUTED_VALUE"""),"Station Fail")</f>
        <v>Station Fail</v>
      </c>
      <c r="AQ70" s="82"/>
      <c r="AR70" s="83"/>
      <c r="AS70" s="75"/>
      <c r="AT70" s="82"/>
      <c r="AU70" s="83"/>
      <c r="AV70" s="75"/>
      <c r="AW70" s="82"/>
      <c r="AX70" s="83"/>
      <c r="AY70" s="75"/>
      <c r="AZ70" s="82"/>
      <c r="BA70" s="83"/>
      <c r="BB70" s="75"/>
      <c r="BC70" s="82"/>
      <c r="BD70" s="83"/>
      <c r="BE70" s="75"/>
      <c r="BF70" s="82"/>
      <c r="BG70" s="83"/>
      <c r="BH70" s="75"/>
      <c r="BI70" s="46"/>
    </row>
    <row r="71" spans="1:61" ht="22.5" customHeight="1" x14ac:dyDescent="0.25">
      <c r="A71" s="46"/>
      <c r="B71" s="85"/>
      <c r="C71" s="75"/>
      <c r="D71" s="75"/>
      <c r="E71" s="75"/>
      <c r="F71" s="76"/>
      <c r="G71" s="77">
        <f ca="1">IFERROR(__xludf.DUMMYFUNCTION("""COMPUTED_VALUE"""),1)</f>
        <v>1</v>
      </c>
      <c r="H71" s="78">
        <f ca="1">IFERROR(__xludf.DUMMYFUNCTION("""COMPUTED_VALUE"""),9)</f>
        <v>9</v>
      </c>
      <c r="I71" s="79">
        <f ca="1">IFERROR(__xludf.DUMMYFUNCTION("""COMPUTED_VALUE"""),0)</f>
        <v>0</v>
      </c>
      <c r="J71" s="264"/>
      <c r="K71" s="82" t="str">
        <f ca="1">IFERROR(__xludf.DUMMYFUNCTION("""COMPUTED_VALUE"""),"-")</f>
        <v>-</v>
      </c>
      <c r="L71" s="81" t="str">
        <f ca="1">IFERROR(__xludf.DUMMYFUNCTION("""COMPUTED_VALUE"""),"Hold")</f>
        <v>Hold</v>
      </c>
      <c r="M71" s="82">
        <f ca="1">IFERROR(__xludf.DUMMYFUNCTION("""COMPUTED_VALUE"""),1.875)</f>
        <v>1.875</v>
      </c>
      <c r="N71" s="83">
        <f ca="1">IFERROR(__xludf.DUMMYFUNCTION("""COMPUTED_VALUE"""),4)</f>
        <v>4</v>
      </c>
      <c r="O71" s="75" t="str">
        <f ca="1">IFERROR(__xludf.DUMMYFUNCTION("""COMPUTED_VALUE"""),"Pass")</f>
        <v>Pass</v>
      </c>
      <c r="P71" s="82">
        <f ca="1">IFERROR(__xludf.DUMMYFUNCTION("""COMPUTED_VALUE"""),2.24516129032258)</f>
        <v>2.2451612903225802</v>
      </c>
      <c r="Q71" s="83">
        <f ca="1">IFERROR(__xludf.DUMMYFUNCTION("""COMPUTED_VALUE"""),5)</f>
        <v>5</v>
      </c>
      <c r="R71" s="75" t="str">
        <f ca="1">IFERROR(__xludf.DUMMYFUNCTION("""COMPUTED_VALUE"""),"Pass")</f>
        <v>Pass</v>
      </c>
      <c r="S71" s="82">
        <f ca="1">IFERROR(__xludf.DUMMYFUNCTION("""COMPUTED_VALUE"""),2)</f>
        <v>2</v>
      </c>
      <c r="T71" s="83">
        <f ca="1">IFERROR(__xludf.DUMMYFUNCTION("""COMPUTED_VALUE"""),4)</f>
        <v>4</v>
      </c>
      <c r="U71" s="75" t="str">
        <f ca="1">IFERROR(__xludf.DUMMYFUNCTION("""COMPUTED_VALUE"""),"Pass")</f>
        <v>Pass</v>
      </c>
      <c r="V71" s="82">
        <f ca="1">IFERROR(__xludf.DUMMYFUNCTION("""COMPUTED_VALUE"""),2.4)</f>
        <v>2.4</v>
      </c>
      <c r="W71" s="83">
        <f ca="1">IFERROR(__xludf.DUMMYFUNCTION("""COMPUTED_VALUE"""),5)</f>
        <v>5</v>
      </c>
      <c r="X71" s="75" t="str">
        <f ca="1">IFERROR(__xludf.DUMMYFUNCTION("""COMPUTED_VALUE"""),"Pass")</f>
        <v>Pass</v>
      </c>
      <c r="Y71" s="82">
        <f ca="1">IFERROR(__xludf.DUMMYFUNCTION("""COMPUTED_VALUE"""),2.28)</f>
        <v>2.2799999999999998</v>
      </c>
      <c r="Z71" s="83">
        <f ca="1">IFERROR(__xludf.DUMMYFUNCTION("""COMPUTED_VALUE"""),5)</f>
        <v>5</v>
      </c>
      <c r="AA71" s="75" t="str">
        <f ca="1">IFERROR(__xludf.DUMMYFUNCTION("""COMPUTED_VALUE"""),"Pass")</f>
        <v>Pass</v>
      </c>
      <c r="AB71" s="82"/>
      <c r="AC71" s="83"/>
      <c r="AD71" s="75" t="str">
        <f ca="1">IFERROR(__xludf.DUMMYFUNCTION("""COMPUTED_VALUE"""),"Not Taken")</f>
        <v>Not Taken</v>
      </c>
      <c r="AE71" s="82">
        <f ca="1">IFERROR(__xludf.DUMMYFUNCTION("""COMPUTED_VALUE"""),2.4)</f>
        <v>2.4</v>
      </c>
      <c r="AF71" s="83">
        <f ca="1">IFERROR(__xludf.DUMMYFUNCTION("""COMPUTED_VALUE"""),5)</f>
        <v>5</v>
      </c>
      <c r="AG71" s="75" t="str">
        <f ca="1">IFERROR(__xludf.DUMMYFUNCTION("""COMPUTED_VALUE"""),"Pass")</f>
        <v>Pass</v>
      </c>
      <c r="AH71" s="82">
        <f ca="1">IFERROR(__xludf.DUMMYFUNCTION("""COMPUTED_VALUE"""),1.50857142857142)</f>
        <v>1.50857142857142</v>
      </c>
      <c r="AI71" s="83">
        <f ca="1">IFERROR(__xludf.DUMMYFUNCTION("""COMPUTED_VALUE"""),3)</f>
        <v>3</v>
      </c>
      <c r="AJ71" s="75" t="str">
        <f ca="1">IFERROR(__xludf.DUMMYFUNCTION("""COMPUTED_VALUE"""),"Pass")</f>
        <v>Pass</v>
      </c>
      <c r="AK71" s="82">
        <f ca="1">IFERROR(__xludf.DUMMYFUNCTION("""COMPUTED_VALUE"""),2.1)</f>
        <v>2.1</v>
      </c>
      <c r="AL71" s="83">
        <f ca="1">IFERROR(__xludf.DUMMYFUNCTION("""COMPUTED_VALUE"""),4)</f>
        <v>4</v>
      </c>
      <c r="AM71" s="75" t="str">
        <f ca="1">IFERROR(__xludf.DUMMYFUNCTION("""COMPUTED_VALUE"""),"Pass")</f>
        <v>Pass</v>
      </c>
      <c r="AN71" s="82">
        <f ca="1">IFERROR(__xludf.DUMMYFUNCTION("""COMPUTED_VALUE"""),1.84615384615384)</f>
        <v>1.84615384615384</v>
      </c>
      <c r="AO71" s="83">
        <f ca="1">IFERROR(__xludf.DUMMYFUNCTION("""COMPUTED_VALUE"""),3)</f>
        <v>3</v>
      </c>
      <c r="AP71" s="75" t="str">
        <f ca="1">IFERROR(__xludf.DUMMYFUNCTION("""COMPUTED_VALUE"""),"Pass")</f>
        <v>Pass</v>
      </c>
      <c r="AQ71" s="82"/>
      <c r="AR71" s="83"/>
      <c r="AS71" s="75"/>
      <c r="AT71" s="82"/>
      <c r="AU71" s="83"/>
      <c r="AV71" s="75"/>
      <c r="AW71" s="82"/>
      <c r="AX71" s="83"/>
      <c r="AY71" s="75"/>
      <c r="AZ71" s="82"/>
      <c r="BA71" s="83"/>
      <c r="BB71" s="75"/>
      <c r="BC71" s="82"/>
      <c r="BD71" s="83"/>
      <c r="BE71" s="75"/>
      <c r="BF71" s="82"/>
      <c r="BG71" s="83"/>
      <c r="BH71" s="75"/>
      <c r="BI71" s="46"/>
    </row>
    <row r="72" spans="1:61" ht="22.5" customHeight="1" x14ac:dyDescent="0.25">
      <c r="A72" s="46"/>
      <c r="B72" s="85"/>
      <c r="C72" s="75"/>
      <c r="D72" s="75"/>
      <c r="E72" s="75"/>
      <c r="F72" s="76"/>
      <c r="G72" s="77">
        <f ca="1">IFERROR(__xludf.DUMMYFUNCTION("""COMPUTED_VALUE"""),0)</f>
        <v>0</v>
      </c>
      <c r="H72" s="78">
        <f ca="1">IFERROR(__xludf.DUMMYFUNCTION("""COMPUTED_VALUE"""),10)</f>
        <v>10</v>
      </c>
      <c r="I72" s="79">
        <f ca="1">IFERROR(__xludf.DUMMYFUNCTION("""COMPUTED_VALUE"""),1)</f>
        <v>1</v>
      </c>
      <c r="J72" s="264"/>
      <c r="K72" s="82">
        <f ca="1">IFERROR(__xludf.DUMMYFUNCTION("""COMPUTED_VALUE"""),17.96)</f>
        <v>17.96</v>
      </c>
      <c r="L72" s="81" t="str">
        <f ca="1">IFERROR(__xludf.DUMMYFUNCTION("""COMPUTED_VALUE"""),"Pass")</f>
        <v>Pass</v>
      </c>
      <c r="M72" s="82">
        <f ca="1">IFERROR(__xludf.DUMMYFUNCTION("""COMPUTED_VALUE"""),1.65)</f>
        <v>1.65</v>
      </c>
      <c r="N72" s="83">
        <f ca="1">IFERROR(__xludf.DUMMYFUNCTION("""COMPUTED_VALUE"""),4)</f>
        <v>4</v>
      </c>
      <c r="O72" s="75" t="str">
        <f ca="1">IFERROR(__xludf.DUMMYFUNCTION("""COMPUTED_VALUE"""),"Pass")</f>
        <v>Pass</v>
      </c>
      <c r="P72" s="82">
        <f ca="1">IFERROR(__xludf.DUMMYFUNCTION("""COMPUTED_VALUE"""),1.54838709677419)</f>
        <v>1.54838709677419</v>
      </c>
      <c r="Q72" s="83">
        <f ca="1">IFERROR(__xludf.DUMMYFUNCTION("""COMPUTED_VALUE"""),4)</f>
        <v>4</v>
      </c>
      <c r="R72" s="75" t="str">
        <f ca="1">IFERROR(__xludf.DUMMYFUNCTION("""COMPUTED_VALUE"""),"Pass")</f>
        <v>Pass</v>
      </c>
      <c r="S72" s="82">
        <f ca="1">IFERROR(__xludf.DUMMYFUNCTION("""COMPUTED_VALUE"""),1.9)</f>
        <v>1.9</v>
      </c>
      <c r="T72" s="83">
        <f ca="1">IFERROR(__xludf.DUMMYFUNCTION("""COMPUTED_VALUE"""),4)</f>
        <v>4</v>
      </c>
      <c r="U72" s="75" t="str">
        <f ca="1">IFERROR(__xludf.DUMMYFUNCTION("""COMPUTED_VALUE"""),"Pass")</f>
        <v>Pass</v>
      </c>
      <c r="V72" s="82">
        <f ca="1">IFERROR(__xludf.DUMMYFUNCTION("""COMPUTED_VALUE"""),1.79999999999999)</f>
        <v>1.7999999999999901</v>
      </c>
      <c r="W72" s="83">
        <f ca="1">IFERROR(__xludf.DUMMYFUNCTION("""COMPUTED_VALUE"""),4)</f>
        <v>4</v>
      </c>
      <c r="X72" s="75" t="str">
        <f ca="1">IFERROR(__xludf.DUMMYFUNCTION("""COMPUTED_VALUE"""),"Pass")</f>
        <v>Pass</v>
      </c>
      <c r="Y72" s="82">
        <f ca="1">IFERROR(__xludf.DUMMYFUNCTION("""COMPUTED_VALUE"""),2.28)</f>
        <v>2.2799999999999998</v>
      </c>
      <c r="Z72" s="83">
        <f ca="1">IFERROR(__xludf.DUMMYFUNCTION("""COMPUTED_VALUE"""),4)</f>
        <v>4</v>
      </c>
      <c r="AA72" s="75" t="str">
        <f ca="1">IFERROR(__xludf.DUMMYFUNCTION("""COMPUTED_VALUE"""),"Pass")</f>
        <v>Pass</v>
      </c>
      <c r="AB72" s="82">
        <f ca="1">IFERROR(__xludf.DUMMYFUNCTION("""COMPUTED_VALUE"""),1.9)</f>
        <v>1.9</v>
      </c>
      <c r="AC72" s="83">
        <f ca="1">IFERROR(__xludf.DUMMYFUNCTION("""COMPUTED_VALUE"""),4)</f>
        <v>4</v>
      </c>
      <c r="AD72" s="75" t="str">
        <f ca="1">IFERROR(__xludf.DUMMYFUNCTION("""COMPUTED_VALUE"""),"Pass")</f>
        <v>Pass</v>
      </c>
      <c r="AE72" s="82">
        <f ca="1">IFERROR(__xludf.DUMMYFUNCTION("""COMPUTED_VALUE"""),2.016)</f>
        <v>2.016</v>
      </c>
      <c r="AF72" s="83">
        <f ca="1">IFERROR(__xludf.DUMMYFUNCTION("""COMPUTED_VALUE"""),4)</f>
        <v>4</v>
      </c>
      <c r="AG72" s="75" t="str">
        <f ca="1">IFERROR(__xludf.DUMMYFUNCTION("""COMPUTED_VALUE"""),"Pass")</f>
        <v>Pass</v>
      </c>
      <c r="AH72" s="82">
        <f ca="1">IFERROR(__xludf.DUMMYFUNCTION("""COMPUTED_VALUE"""),1.92)</f>
        <v>1.92</v>
      </c>
      <c r="AI72" s="83">
        <f ca="1">IFERROR(__xludf.DUMMYFUNCTION("""COMPUTED_VALUE"""),4)</f>
        <v>4</v>
      </c>
      <c r="AJ72" s="75" t="str">
        <f ca="1">IFERROR(__xludf.DUMMYFUNCTION("""COMPUTED_VALUE"""),"Pass")</f>
        <v>Pass</v>
      </c>
      <c r="AK72" s="82">
        <f ca="1">IFERROR(__xludf.DUMMYFUNCTION("""COMPUTED_VALUE"""),2.025)</f>
        <v>2.0249999999999999</v>
      </c>
      <c r="AL72" s="83">
        <f ca="1">IFERROR(__xludf.DUMMYFUNCTION("""COMPUTED_VALUE"""),4)</f>
        <v>4</v>
      </c>
      <c r="AM72" s="75" t="str">
        <f ca="1">IFERROR(__xludf.DUMMYFUNCTION("""COMPUTED_VALUE"""),"Pass")</f>
        <v>Pass</v>
      </c>
      <c r="AN72" s="82">
        <f ca="1">IFERROR(__xludf.DUMMYFUNCTION("""COMPUTED_VALUE"""),0.923076923076923)</f>
        <v>0.92307692307692302</v>
      </c>
      <c r="AO72" s="83">
        <f ca="1">IFERROR(__xludf.DUMMYFUNCTION("""COMPUTED_VALUE"""),2)</f>
        <v>2</v>
      </c>
      <c r="AP72" s="75" t="str">
        <f ca="1">IFERROR(__xludf.DUMMYFUNCTION("""COMPUTED_VALUE"""),"Station Fail")</f>
        <v>Station Fail</v>
      </c>
      <c r="AQ72" s="82"/>
      <c r="AR72" s="83"/>
      <c r="AS72" s="75"/>
      <c r="AT72" s="82"/>
      <c r="AU72" s="83"/>
      <c r="AV72" s="75"/>
      <c r="AW72" s="82"/>
      <c r="AX72" s="83"/>
      <c r="AY72" s="75"/>
      <c r="AZ72" s="82"/>
      <c r="BA72" s="83"/>
      <c r="BB72" s="75"/>
      <c r="BC72" s="82"/>
      <c r="BD72" s="83"/>
      <c r="BE72" s="75"/>
      <c r="BF72" s="82"/>
      <c r="BG72" s="83"/>
      <c r="BH72" s="75"/>
      <c r="BI72" s="46"/>
    </row>
    <row r="73" spans="1:61" ht="22.5" customHeight="1" x14ac:dyDescent="0.25">
      <c r="A73" s="46"/>
      <c r="B73" s="85"/>
      <c r="C73" s="75"/>
      <c r="D73" s="75"/>
      <c r="E73" s="75"/>
      <c r="F73" s="76"/>
      <c r="G73" s="77">
        <f ca="1">IFERROR(__xludf.DUMMYFUNCTION("""COMPUTED_VALUE"""),10)</f>
        <v>10</v>
      </c>
      <c r="H73" s="78">
        <f ca="1">IFERROR(__xludf.DUMMYFUNCTION("""COMPUTED_VALUE"""),0)</f>
        <v>0</v>
      </c>
      <c r="I73" s="79">
        <f ca="1">IFERROR(__xludf.DUMMYFUNCTION("""COMPUTED_VALUE"""),0)</f>
        <v>0</v>
      </c>
      <c r="J73" s="264"/>
      <c r="K73" s="82" t="str">
        <f ca="1">IFERROR(__xludf.DUMMYFUNCTION("""COMPUTED_VALUE"""),"-")</f>
        <v>-</v>
      </c>
      <c r="L73" s="81" t="str">
        <f ca="1">IFERROR(__xludf.DUMMYFUNCTION("""COMPUTED_VALUE"""),"Hold")</f>
        <v>Hold</v>
      </c>
      <c r="M73" s="82"/>
      <c r="N73" s="83"/>
      <c r="O73" s="75" t="str">
        <f ca="1">IFERROR(__xludf.DUMMYFUNCTION("""COMPUTED_VALUE"""),"Not Taken")</f>
        <v>Not Taken</v>
      </c>
      <c r="P73" s="82"/>
      <c r="Q73" s="83"/>
      <c r="R73" s="75" t="str">
        <f ca="1">IFERROR(__xludf.DUMMYFUNCTION("""COMPUTED_VALUE"""),"Not Taken")</f>
        <v>Not Taken</v>
      </c>
      <c r="S73" s="82"/>
      <c r="T73" s="83"/>
      <c r="U73" s="75" t="str">
        <f ca="1">IFERROR(__xludf.DUMMYFUNCTION("""COMPUTED_VALUE"""),"Not Taken")</f>
        <v>Not Taken</v>
      </c>
      <c r="V73" s="82"/>
      <c r="W73" s="83"/>
      <c r="X73" s="75" t="str">
        <f ca="1">IFERROR(__xludf.DUMMYFUNCTION("""COMPUTED_VALUE"""),"Not Taken")</f>
        <v>Not Taken</v>
      </c>
      <c r="Y73" s="82"/>
      <c r="Z73" s="83"/>
      <c r="AA73" s="75" t="str">
        <f ca="1">IFERROR(__xludf.DUMMYFUNCTION("""COMPUTED_VALUE"""),"Not Taken")</f>
        <v>Not Taken</v>
      </c>
      <c r="AB73" s="82"/>
      <c r="AC73" s="83"/>
      <c r="AD73" s="75" t="str">
        <f ca="1">IFERROR(__xludf.DUMMYFUNCTION("""COMPUTED_VALUE"""),"Not Taken")</f>
        <v>Not Taken</v>
      </c>
      <c r="AE73" s="82"/>
      <c r="AF73" s="83"/>
      <c r="AG73" s="75" t="str">
        <f ca="1">IFERROR(__xludf.DUMMYFUNCTION("""COMPUTED_VALUE"""),"Not Taken")</f>
        <v>Not Taken</v>
      </c>
      <c r="AH73" s="82"/>
      <c r="AI73" s="83"/>
      <c r="AJ73" s="75" t="str">
        <f ca="1">IFERROR(__xludf.DUMMYFUNCTION("""COMPUTED_VALUE"""),"Not Taken")</f>
        <v>Not Taken</v>
      </c>
      <c r="AK73" s="82"/>
      <c r="AL73" s="83"/>
      <c r="AM73" s="75" t="str">
        <f ca="1">IFERROR(__xludf.DUMMYFUNCTION("""COMPUTED_VALUE"""),"Not Taken")</f>
        <v>Not Taken</v>
      </c>
      <c r="AN73" s="82"/>
      <c r="AO73" s="83"/>
      <c r="AP73" s="75" t="str">
        <f ca="1">IFERROR(__xludf.DUMMYFUNCTION("""COMPUTED_VALUE"""),"Not Taken")</f>
        <v>Not Taken</v>
      </c>
      <c r="AQ73" s="82"/>
      <c r="AR73" s="83"/>
      <c r="AS73" s="75"/>
      <c r="AT73" s="82"/>
      <c r="AU73" s="83"/>
      <c r="AV73" s="75"/>
      <c r="AW73" s="82"/>
      <c r="AX73" s="83"/>
      <c r="AY73" s="75"/>
      <c r="AZ73" s="82"/>
      <c r="BA73" s="83"/>
      <c r="BB73" s="75"/>
      <c r="BC73" s="82"/>
      <c r="BD73" s="83"/>
      <c r="BE73" s="75"/>
      <c r="BF73" s="82"/>
      <c r="BG73" s="83"/>
      <c r="BH73" s="75"/>
      <c r="BI73" s="46"/>
    </row>
    <row r="74" spans="1:61" ht="22.5" customHeight="1" x14ac:dyDescent="0.25">
      <c r="A74" s="46"/>
      <c r="B74" s="85"/>
      <c r="C74" s="75"/>
      <c r="D74" s="75"/>
      <c r="E74" s="75"/>
      <c r="F74" s="76"/>
      <c r="G74" s="77">
        <f ca="1">IFERROR(__xludf.DUMMYFUNCTION("""COMPUTED_VALUE"""),1)</f>
        <v>1</v>
      </c>
      <c r="H74" s="78">
        <f ca="1">IFERROR(__xludf.DUMMYFUNCTION("""COMPUTED_VALUE"""),9)</f>
        <v>9</v>
      </c>
      <c r="I74" s="79">
        <f ca="1">IFERROR(__xludf.DUMMYFUNCTION("""COMPUTED_VALUE"""),1)</f>
        <v>1</v>
      </c>
      <c r="J74" s="264"/>
      <c r="K74" s="82" t="str">
        <f ca="1">IFERROR(__xludf.DUMMYFUNCTION("""COMPUTED_VALUE"""),"-")</f>
        <v>-</v>
      </c>
      <c r="L74" s="81" t="str">
        <f ca="1">IFERROR(__xludf.DUMMYFUNCTION("""COMPUTED_VALUE"""),"Hold")</f>
        <v>Hold</v>
      </c>
      <c r="M74" s="82">
        <f ca="1">IFERROR(__xludf.DUMMYFUNCTION("""COMPUTED_VALUE"""),1.65)</f>
        <v>1.65</v>
      </c>
      <c r="N74" s="83">
        <f ca="1">IFERROR(__xludf.DUMMYFUNCTION("""COMPUTED_VALUE"""),4)</f>
        <v>4</v>
      </c>
      <c r="O74" s="75" t="str">
        <f ca="1">IFERROR(__xludf.DUMMYFUNCTION("""COMPUTED_VALUE"""),"Pass")</f>
        <v>Pass</v>
      </c>
      <c r="P74" s="82">
        <f ca="1">IFERROR(__xludf.DUMMYFUNCTION("""COMPUTED_VALUE"""),2.09032258064516)</f>
        <v>2.09032258064516</v>
      </c>
      <c r="Q74" s="83">
        <f ca="1">IFERROR(__xludf.DUMMYFUNCTION("""COMPUTED_VALUE"""),4)</f>
        <v>4</v>
      </c>
      <c r="R74" s="75" t="str">
        <f ca="1">IFERROR(__xludf.DUMMYFUNCTION("""COMPUTED_VALUE"""),"Pass")</f>
        <v>Pass</v>
      </c>
      <c r="S74" s="82">
        <f ca="1">IFERROR(__xludf.DUMMYFUNCTION("""COMPUTED_VALUE"""),1.7)</f>
        <v>1.7</v>
      </c>
      <c r="T74" s="83">
        <f ca="1">IFERROR(__xludf.DUMMYFUNCTION("""COMPUTED_VALUE"""),3)</f>
        <v>3</v>
      </c>
      <c r="U74" s="75" t="str">
        <f ca="1">IFERROR(__xludf.DUMMYFUNCTION("""COMPUTED_VALUE"""),"Pass")</f>
        <v>Pass</v>
      </c>
      <c r="V74" s="82">
        <f ca="1">IFERROR(__xludf.DUMMYFUNCTION("""COMPUTED_VALUE"""),1.32)</f>
        <v>1.32</v>
      </c>
      <c r="W74" s="83">
        <f ca="1">IFERROR(__xludf.DUMMYFUNCTION("""COMPUTED_VALUE"""),3)</f>
        <v>3</v>
      </c>
      <c r="X74" s="75" t="str">
        <f ca="1">IFERROR(__xludf.DUMMYFUNCTION("""COMPUTED_VALUE"""),"Station Fail")</f>
        <v>Station Fail</v>
      </c>
      <c r="Y74" s="82">
        <f ca="1">IFERROR(__xludf.DUMMYFUNCTION("""COMPUTED_VALUE"""),2.4)</f>
        <v>2.4</v>
      </c>
      <c r="Z74" s="83">
        <f ca="1">IFERROR(__xludf.DUMMYFUNCTION("""COMPUTED_VALUE"""),5)</f>
        <v>5</v>
      </c>
      <c r="AA74" s="75" t="str">
        <f ca="1">IFERROR(__xludf.DUMMYFUNCTION("""COMPUTED_VALUE"""),"Pass")</f>
        <v>Pass</v>
      </c>
      <c r="AB74" s="82">
        <f ca="1">IFERROR(__xludf.DUMMYFUNCTION("""COMPUTED_VALUE"""),1.7)</f>
        <v>1.7</v>
      </c>
      <c r="AC74" s="83">
        <f ca="1">IFERROR(__xludf.DUMMYFUNCTION("""COMPUTED_VALUE"""),3)</f>
        <v>3</v>
      </c>
      <c r="AD74" s="75" t="str">
        <f ca="1">IFERROR(__xludf.DUMMYFUNCTION("""COMPUTED_VALUE"""),"Pass")</f>
        <v>Pass</v>
      </c>
      <c r="AE74" s="82">
        <f ca="1">IFERROR(__xludf.DUMMYFUNCTION("""COMPUTED_VALUE"""),1.536)</f>
        <v>1.536</v>
      </c>
      <c r="AF74" s="83">
        <f ca="1">IFERROR(__xludf.DUMMYFUNCTION("""COMPUTED_VALUE"""),4)</f>
        <v>4</v>
      </c>
      <c r="AG74" s="75" t="str">
        <f ca="1">IFERROR(__xludf.DUMMYFUNCTION("""COMPUTED_VALUE"""),"Pass")</f>
        <v>Pass</v>
      </c>
      <c r="AH74" s="82">
        <f ca="1">IFERROR(__xludf.DUMMYFUNCTION("""COMPUTED_VALUE"""),1.57714285714285)</f>
        <v>1.5771428571428501</v>
      </c>
      <c r="AI74" s="83">
        <f ca="1">IFERROR(__xludf.DUMMYFUNCTION("""COMPUTED_VALUE"""),3)</f>
        <v>3</v>
      </c>
      <c r="AJ74" s="75" t="str">
        <f ca="1">IFERROR(__xludf.DUMMYFUNCTION("""COMPUTED_VALUE"""),"Pass")</f>
        <v>Pass</v>
      </c>
      <c r="AK74" s="82">
        <f ca="1">IFERROR(__xludf.DUMMYFUNCTION("""COMPUTED_VALUE"""),2.025)</f>
        <v>2.0249999999999999</v>
      </c>
      <c r="AL74" s="83">
        <f ca="1">IFERROR(__xludf.DUMMYFUNCTION("""COMPUTED_VALUE"""),4)</f>
        <v>4</v>
      </c>
      <c r="AM74" s="75" t="str">
        <f ca="1">IFERROR(__xludf.DUMMYFUNCTION("""COMPUTED_VALUE"""),"Pass")</f>
        <v>Pass</v>
      </c>
      <c r="AN74" s="82"/>
      <c r="AO74" s="83"/>
      <c r="AP74" s="75" t="str">
        <f ca="1">IFERROR(__xludf.DUMMYFUNCTION("""COMPUTED_VALUE"""),"Not Taken")</f>
        <v>Not Taken</v>
      </c>
      <c r="AQ74" s="82"/>
      <c r="AR74" s="83"/>
      <c r="AS74" s="75"/>
      <c r="AT74" s="82"/>
      <c r="AU74" s="83"/>
      <c r="AV74" s="75"/>
      <c r="AW74" s="82"/>
      <c r="AX74" s="83"/>
      <c r="AY74" s="75"/>
      <c r="AZ74" s="82"/>
      <c r="BA74" s="83"/>
      <c r="BB74" s="75"/>
      <c r="BC74" s="82"/>
      <c r="BD74" s="83"/>
      <c r="BE74" s="75"/>
      <c r="BF74" s="82"/>
      <c r="BG74" s="83"/>
      <c r="BH74" s="75"/>
      <c r="BI74" s="46"/>
    </row>
    <row r="75" spans="1:61" ht="22.5" customHeight="1" x14ac:dyDescent="0.25">
      <c r="A75" s="46"/>
      <c r="B75" s="85"/>
      <c r="C75" s="75"/>
      <c r="D75" s="75"/>
      <c r="E75" s="75"/>
      <c r="F75" s="76"/>
      <c r="G75" s="77">
        <f ca="1">IFERROR(__xludf.DUMMYFUNCTION("""COMPUTED_VALUE"""),0)</f>
        <v>0</v>
      </c>
      <c r="H75" s="78">
        <f ca="1">IFERROR(__xludf.DUMMYFUNCTION("""COMPUTED_VALUE"""),10)</f>
        <v>10</v>
      </c>
      <c r="I75" s="79">
        <f ca="1">IFERROR(__xludf.DUMMYFUNCTION("""COMPUTED_VALUE"""),1)</f>
        <v>1</v>
      </c>
      <c r="J75" s="264"/>
      <c r="K75" s="82">
        <f ca="1">IFERROR(__xludf.DUMMYFUNCTION("""COMPUTED_VALUE"""),20.38)</f>
        <v>20.38</v>
      </c>
      <c r="L75" s="81" t="str">
        <f ca="1">IFERROR(__xludf.DUMMYFUNCTION("""COMPUTED_VALUE"""),"Pass")</f>
        <v>Pass</v>
      </c>
      <c r="M75" s="82">
        <f ca="1">IFERROR(__xludf.DUMMYFUNCTION("""COMPUTED_VALUE"""),1.72499999999999)</f>
        <v>1.7249999999999901</v>
      </c>
      <c r="N75" s="83">
        <f ca="1">IFERROR(__xludf.DUMMYFUNCTION("""COMPUTED_VALUE"""),3)</f>
        <v>3</v>
      </c>
      <c r="O75" s="75" t="str">
        <f ca="1">IFERROR(__xludf.DUMMYFUNCTION("""COMPUTED_VALUE"""),"Pass")</f>
        <v>Pass</v>
      </c>
      <c r="P75" s="82">
        <f ca="1">IFERROR(__xludf.DUMMYFUNCTION("""COMPUTED_VALUE"""),2.32258064516129)</f>
        <v>2.32258064516129</v>
      </c>
      <c r="Q75" s="83">
        <f ca="1">IFERROR(__xludf.DUMMYFUNCTION("""COMPUTED_VALUE"""),5)</f>
        <v>5</v>
      </c>
      <c r="R75" s="75" t="str">
        <f ca="1">IFERROR(__xludf.DUMMYFUNCTION("""COMPUTED_VALUE"""),"Pass")</f>
        <v>Pass</v>
      </c>
      <c r="S75" s="82">
        <f ca="1">IFERROR(__xludf.DUMMYFUNCTION("""COMPUTED_VALUE"""),1.9)</f>
        <v>1.9</v>
      </c>
      <c r="T75" s="83">
        <f ca="1">IFERROR(__xludf.DUMMYFUNCTION("""COMPUTED_VALUE"""),4)</f>
        <v>4</v>
      </c>
      <c r="U75" s="75" t="str">
        <f ca="1">IFERROR(__xludf.DUMMYFUNCTION("""COMPUTED_VALUE"""),"Pass")</f>
        <v>Pass</v>
      </c>
      <c r="V75" s="82">
        <f ca="1">IFERROR(__xludf.DUMMYFUNCTION("""COMPUTED_VALUE"""),2.28)</f>
        <v>2.2799999999999998</v>
      </c>
      <c r="W75" s="83">
        <f ca="1">IFERROR(__xludf.DUMMYFUNCTION("""COMPUTED_VALUE"""),5)</f>
        <v>5</v>
      </c>
      <c r="X75" s="75" t="str">
        <f ca="1">IFERROR(__xludf.DUMMYFUNCTION("""COMPUTED_VALUE"""),"Pass")</f>
        <v>Pass</v>
      </c>
      <c r="Y75" s="82">
        <f ca="1">IFERROR(__xludf.DUMMYFUNCTION("""COMPUTED_VALUE"""),2.4)</f>
        <v>2.4</v>
      </c>
      <c r="Z75" s="83">
        <f ca="1">IFERROR(__xludf.DUMMYFUNCTION("""COMPUTED_VALUE"""),5)</f>
        <v>5</v>
      </c>
      <c r="AA75" s="75" t="str">
        <f ca="1">IFERROR(__xludf.DUMMYFUNCTION("""COMPUTED_VALUE"""),"Pass")</f>
        <v>Pass</v>
      </c>
      <c r="AB75" s="82">
        <f ca="1">IFERROR(__xludf.DUMMYFUNCTION("""COMPUTED_VALUE"""),2.19999999999999)</f>
        <v>2.19999999999999</v>
      </c>
      <c r="AC75" s="83">
        <f ca="1">IFERROR(__xludf.DUMMYFUNCTION("""COMPUTED_VALUE"""),4)</f>
        <v>4</v>
      </c>
      <c r="AD75" s="75" t="str">
        <f ca="1">IFERROR(__xludf.DUMMYFUNCTION("""COMPUTED_VALUE"""),"Pass")</f>
        <v>Pass</v>
      </c>
      <c r="AE75" s="82">
        <f ca="1">IFERROR(__xludf.DUMMYFUNCTION("""COMPUTED_VALUE"""),2.208)</f>
        <v>2.2080000000000002</v>
      </c>
      <c r="AF75" s="83">
        <f ca="1">IFERROR(__xludf.DUMMYFUNCTION("""COMPUTED_VALUE"""),5)</f>
        <v>5</v>
      </c>
      <c r="AG75" s="75" t="str">
        <f ca="1">IFERROR(__xludf.DUMMYFUNCTION("""COMPUTED_VALUE"""),"Pass")</f>
        <v>Pass</v>
      </c>
      <c r="AH75" s="82">
        <f ca="1">IFERROR(__xludf.DUMMYFUNCTION("""COMPUTED_VALUE"""),2.05714285714285)</f>
        <v>2.0571428571428498</v>
      </c>
      <c r="AI75" s="83">
        <f ca="1">IFERROR(__xludf.DUMMYFUNCTION("""COMPUTED_VALUE"""),3)</f>
        <v>3</v>
      </c>
      <c r="AJ75" s="75" t="str">
        <f ca="1">IFERROR(__xludf.DUMMYFUNCTION("""COMPUTED_VALUE"""),"Pass")</f>
        <v>Pass</v>
      </c>
      <c r="AK75" s="82">
        <f ca="1">IFERROR(__xludf.DUMMYFUNCTION("""COMPUTED_VALUE"""),2.175)</f>
        <v>2.1749999999999998</v>
      </c>
      <c r="AL75" s="83">
        <f ca="1">IFERROR(__xludf.DUMMYFUNCTION("""COMPUTED_VALUE"""),4)</f>
        <v>4</v>
      </c>
      <c r="AM75" s="75" t="str">
        <f ca="1">IFERROR(__xludf.DUMMYFUNCTION("""COMPUTED_VALUE"""),"Pass")</f>
        <v>Pass</v>
      </c>
      <c r="AN75" s="82">
        <f ca="1">IFERROR(__xludf.DUMMYFUNCTION("""COMPUTED_VALUE"""),1.1076923076923)</f>
        <v>1.1076923076923</v>
      </c>
      <c r="AO75" s="83">
        <f ca="1">IFERROR(__xludf.DUMMYFUNCTION("""COMPUTED_VALUE"""),2)</f>
        <v>2</v>
      </c>
      <c r="AP75" s="75" t="str">
        <f ca="1">IFERROR(__xludf.DUMMYFUNCTION("""COMPUTED_VALUE"""),"Station Fail")</f>
        <v>Station Fail</v>
      </c>
      <c r="AQ75" s="82"/>
      <c r="AR75" s="83"/>
      <c r="AS75" s="75"/>
      <c r="AT75" s="82"/>
      <c r="AU75" s="83"/>
      <c r="AV75" s="75"/>
      <c r="AW75" s="82"/>
      <c r="AX75" s="83"/>
      <c r="AY75" s="75"/>
      <c r="AZ75" s="82"/>
      <c r="BA75" s="83"/>
      <c r="BB75" s="75"/>
      <c r="BC75" s="82"/>
      <c r="BD75" s="83"/>
      <c r="BE75" s="75"/>
      <c r="BF75" s="82"/>
      <c r="BG75" s="83"/>
      <c r="BH75" s="75"/>
      <c r="BI75" s="46"/>
    </row>
    <row r="76" spans="1:61" ht="22.5" customHeight="1" x14ac:dyDescent="0.25">
      <c r="A76" s="46"/>
      <c r="B76" s="85"/>
      <c r="C76" s="75"/>
      <c r="D76" s="75"/>
      <c r="E76" s="75"/>
      <c r="F76" s="76"/>
      <c r="G76" s="77">
        <f ca="1">IFERROR(__xludf.DUMMYFUNCTION("""COMPUTED_VALUE"""),0)</f>
        <v>0</v>
      </c>
      <c r="H76" s="78">
        <f ca="1">IFERROR(__xludf.DUMMYFUNCTION("""COMPUTED_VALUE"""),10)</f>
        <v>10</v>
      </c>
      <c r="I76" s="79">
        <f ca="1">IFERROR(__xludf.DUMMYFUNCTION("""COMPUTED_VALUE"""),3)</f>
        <v>3</v>
      </c>
      <c r="J76" s="264"/>
      <c r="K76" s="82">
        <f ca="1">IFERROR(__xludf.DUMMYFUNCTION("""COMPUTED_VALUE"""),15.66)</f>
        <v>15.66</v>
      </c>
      <c r="L76" s="81" t="str">
        <f ca="1">IFERROR(__xludf.DUMMYFUNCTION("""COMPUTED_VALUE"""),"Pass")</f>
        <v>Pass</v>
      </c>
      <c r="M76" s="82">
        <f ca="1">IFERROR(__xludf.DUMMYFUNCTION("""COMPUTED_VALUE"""),1.275)</f>
        <v>1.2749999999999999</v>
      </c>
      <c r="N76" s="83">
        <f ca="1">IFERROR(__xludf.DUMMYFUNCTION("""COMPUTED_VALUE"""),4)</f>
        <v>4</v>
      </c>
      <c r="O76" s="75" t="str">
        <f ca="1">IFERROR(__xludf.DUMMYFUNCTION("""COMPUTED_VALUE"""),"Station Fail")</f>
        <v>Station Fail</v>
      </c>
      <c r="P76" s="82">
        <f ca="1">IFERROR(__xludf.DUMMYFUNCTION("""COMPUTED_VALUE"""),1.85806451612903)</f>
        <v>1.8580645161290299</v>
      </c>
      <c r="Q76" s="83">
        <f ca="1">IFERROR(__xludf.DUMMYFUNCTION("""COMPUTED_VALUE"""),4)</f>
        <v>4</v>
      </c>
      <c r="R76" s="75" t="str">
        <f ca="1">IFERROR(__xludf.DUMMYFUNCTION("""COMPUTED_VALUE"""),"Pass")</f>
        <v>Pass</v>
      </c>
      <c r="S76" s="82">
        <f ca="1">IFERROR(__xludf.DUMMYFUNCTION("""COMPUTED_VALUE"""),1.7)</f>
        <v>1.7</v>
      </c>
      <c r="T76" s="83">
        <f ca="1">IFERROR(__xludf.DUMMYFUNCTION("""COMPUTED_VALUE"""),3)</f>
        <v>3</v>
      </c>
      <c r="U76" s="75" t="str">
        <f ca="1">IFERROR(__xludf.DUMMYFUNCTION("""COMPUTED_VALUE"""),"Pass")</f>
        <v>Pass</v>
      </c>
      <c r="V76" s="82">
        <f ca="1">IFERROR(__xludf.DUMMYFUNCTION("""COMPUTED_VALUE"""),1.68)</f>
        <v>1.68</v>
      </c>
      <c r="W76" s="83">
        <f ca="1">IFERROR(__xludf.DUMMYFUNCTION("""COMPUTED_VALUE"""),4)</f>
        <v>4</v>
      </c>
      <c r="X76" s="75" t="str">
        <f ca="1">IFERROR(__xludf.DUMMYFUNCTION("""COMPUTED_VALUE"""),"Pass")</f>
        <v>Pass</v>
      </c>
      <c r="Y76" s="82">
        <f ca="1">IFERROR(__xludf.DUMMYFUNCTION("""COMPUTED_VALUE"""),2.4)</f>
        <v>2.4</v>
      </c>
      <c r="Z76" s="83">
        <f ca="1">IFERROR(__xludf.DUMMYFUNCTION("""COMPUTED_VALUE"""),5)</f>
        <v>5</v>
      </c>
      <c r="AA76" s="75" t="str">
        <f ca="1">IFERROR(__xludf.DUMMYFUNCTION("""COMPUTED_VALUE"""),"Pass")</f>
        <v>Pass</v>
      </c>
      <c r="AB76" s="82">
        <f ca="1">IFERROR(__xludf.DUMMYFUNCTION("""COMPUTED_VALUE"""),1.59999999999999)</f>
        <v>1.5999999999999901</v>
      </c>
      <c r="AC76" s="83">
        <f ca="1">IFERROR(__xludf.DUMMYFUNCTION("""COMPUTED_VALUE"""),3)</f>
        <v>3</v>
      </c>
      <c r="AD76" s="75" t="str">
        <f ca="1">IFERROR(__xludf.DUMMYFUNCTION("""COMPUTED_VALUE"""),"Pass")</f>
        <v>Pass</v>
      </c>
      <c r="AE76" s="82">
        <f ca="1">IFERROR(__xludf.DUMMYFUNCTION("""COMPUTED_VALUE"""),2.016)</f>
        <v>2.016</v>
      </c>
      <c r="AF76" s="83">
        <f ca="1">IFERROR(__xludf.DUMMYFUNCTION("""COMPUTED_VALUE"""),4)</f>
        <v>4</v>
      </c>
      <c r="AG76" s="75" t="str">
        <f ca="1">IFERROR(__xludf.DUMMYFUNCTION("""COMPUTED_VALUE"""),"Pass")</f>
        <v>Pass</v>
      </c>
      <c r="AH76" s="82">
        <f ca="1">IFERROR(__xludf.DUMMYFUNCTION("""COMPUTED_VALUE"""),1.37142857142857)</f>
        <v>1.3714285714285701</v>
      </c>
      <c r="AI76" s="83">
        <f ca="1">IFERROR(__xludf.DUMMYFUNCTION("""COMPUTED_VALUE"""),2)</f>
        <v>2</v>
      </c>
      <c r="AJ76" s="75" t="str">
        <f ca="1">IFERROR(__xludf.DUMMYFUNCTION("""COMPUTED_VALUE"""),"Station Fail")</f>
        <v>Station Fail</v>
      </c>
      <c r="AK76" s="82">
        <f ca="1">IFERROR(__xludf.DUMMYFUNCTION("""COMPUTED_VALUE"""),1.575)</f>
        <v>1.575</v>
      </c>
      <c r="AL76" s="83">
        <f ca="1">IFERROR(__xludf.DUMMYFUNCTION("""COMPUTED_VALUE"""),2)</f>
        <v>2</v>
      </c>
      <c r="AM76" s="75" t="str">
        <f ca="1">IFERROR(__xludf.DUMMYFUNCTION("""COMPUTED_VALUE"""),"Pass")</f>
        <v>Pass</v>
      </c>
      <c r="AN76" s="82">
        <f ca="1">IFERROR(__xludf.DUMMYFUNCTION("""COMPUTED_VALUE"""),0.184615384615384)</f>
        <v>0.18461538461538399</v>
      </c>
      <c r="AO76" s="83">
        <f ca="1">IFERROR(__xludf.DUMMYFUNCTION("""COMPUTED_VALUE"""),1)</f>
        <v>1</v>
      </c>
      <c r="AP76" s="75" t="str">
        <f ca="1">IFERROR(__xludf.DUMMYFUNCTION("""COMPUTED_VALUE"""),"Station Fail")</f>
        <v>Station Fail</v>
      </c>
      <c r="AQ76" s="82"/>
      <c r="AR76" s="83"/>
      <c r="AS76" s="75"/>
      <c r="AT76" s="82"/>
      <c r="AU76" s="83"/>
      <c r="AV76" s="75"/>
      <c r="AW76" s="82"/>
      <c r="AX76" s="83"/>
      <c r="AY76" s="75"/>
      <c r="AZ76" s="82"/>
      <c r="BA76" s="83"/>
      <c r="BB76" s="75"/>
      <c r="BC76" s="82"/>
      <c r="BD76" s="83"/>
      <c r="BE76" s="75"/>
      <c r="BF76" s="82"/>
      <c r="BG76" s="83"/>
      <c r="BH76" s="75"/>
      <c r="BI76" s="46"/>
    </row>
    <row r="77" spans="1:61" ht="22.5" customHeight="1" x14ac:dyDescent="0.25">
      <c r="A77" s="46"/>
      <c r="B77" s="85"/>
      <c r="C77" s="75"/>
      <c r="D77" s="75"/>
      <c r="E77" s="75"/>
      <c r="F77" s="76"/>
      <c r="G77" s="77">
        <f ca="1">IFERROR(__xludf.DUMMYFUNCTION("""COMPUTED_VALUE"""),0)</f>
        <v>0</v>
      </c>
      <c r="H77" s="78">
        <f ca="1">IFERROR(__xludf.DUMMYFUNCTION("""COMPUTED_VALUE"""),10)</f>
        <v>10</v>
      </c>
      <c r="I77" s="79">
        <f ca="1">IFERROR(__xludf.DUMMYFUNCTION("""COMPUTED_VALUE"""),5)</f>
        <v>5</v>
      </c>
      <c r="J77" s="264"/>
      <c r="K77" s="82">
        <f ca="1">IFERROR(__xludf.DUMMYFUNCTION("""COMPUTED_VALUE"""),16)</f>
        <v>16</v>
      </c>
      <c r="L77" s="81" t="str">
        <f ca="1">IFERROR(__xludf.DUMMYFUNCTION("""COMPUTED_VALUE"""),"Pass")</f>
        <v>Pass</v>
      </c>
      <c r="M77" s="82">
        <f ca="1">IFERROR(__xludf.DUMMYFUNCTION("""COMPUTED_VALUE"""),1.275)</f>
        <v>1.2749999999999999</v>
      </c>
      <c r="N77" s="83">
        <f ca="1">IFERROR(__xludf.DUMMYFUNCTION("""COMPUTED_VALUE"""),4)</f>
        <v>4</v>
      </c>
      <c r="O77" s="75" t="str">
        <f ca="1">IFERROR(__xludf.DUMMYFUNCTION("""COMPUTED_VALUE"""),"Station Fail")</f>
        <v>Station Fail</v>
      </c>
      <c r="P77" s="82">
        <f ca="1">IFERROR(__xludf.DUMMYFUNCTION("""COMPUTED_VALUE"""),1.47096774193548)</f>
        <v>1.4709677419354801</v>
      </c>
      <c r="Q77" s="83">
        <f ca="1">IFERROR(__xludf.DUMMYFUNCTION("""COMPUTED_VALUE"""),3)</f>
        <v>3</v>
      </c>
      <c r="R77" s="75" t="str">
        <f ca="1">IFERROR(__xludf.DUMMYFUNCTION("""COMPUTED_VALUE"""),"Pass")</f>
        <v>Pass</v>
      </c>
      <c r="S77" s="82">
        <f ca="1">IFERROR(__xludf.DUMMYFUNCTION("""COMPUTED_VALUE"""),1.79999999999999)</f>
        <v>1.7999999999999901</v>
      </c>
      <c r="T77" s="83">
        <f ca="1">IFERROR(__xludf.DUMMYFUNCTION("""COMPUTED_VALUE"""),4)</f>
        <v>4</v>
      </c>
      <c r="U77" s="75" t="str">
        <f ca="1">IFERROR(__xludf.DUMMYFUNCTION("""COMPUTED_VALUE"""),"Pass")</f>
        <v>Pass</v>
      </c>
      <c r="V77" s="82">
        <f ca="1">IFERROR(__xludf.DUMMYFUNCTION("""COMPUTED_VALUE"""),1.2)</f>
        <v>1.2</v>
      </c>
      <c r="W77" s="83">
        <f ca="1">IFERROR(__xludf.DUMMYFUNCTION("""COMPUTED_VALUE"""),3)</f>
        <v>3</v>
      </c>
      <c r="X77" s="75" t="str">
        <f ca="1">IFERROR(__xludf.DUMMYFUNCTION("""COMPUTED_VALUE"""),"Station Fail")</f>
        <v>Station Fail</v>
      </c>
      <c r="Y77" s="82">
        <f ca="1">IFERROR(__xludf.DUMMYFUNCTION("""COMPUTED_VALUE"""),2.16)</f>
        <v>2.16</v>
      </c>
      <c r="Z77" s="83">
        <f ca="1">IFERROR(__xludf.DUMMYFUNCTION("""COMPUTED_VALUE"""),4)</f>
        <v>4</v>
      </c>
      <c r="AA77" s="75" t="str">
        <f ca="1">IFERROR(__xludf.DUMMYFUNCTION("""COMPUTED_VALUE"""),"Pass")</f>
        <v>Pass</v>
      </c>
      <c r="AB77" s="82">
        <f ca="1">IFERROR(__xludf.DUMMYFUNCTION("""COMPUTED_VALUE"""),1.29999999999999)</f>
        <v>1.2999999999999901</v>
      </c>
      <c r="AC77" s="83">
        <f ca="1">IFERROR(__xludf.DUMMYFUNCTION("""COMPUTED_VALUE"""),3)</f>
        <v>3</v>
      </c>
      <c r="AD77" s="75" t="str">
        <f ca="1">IFERROR(__xludf.DUMMYFUNCTION("""COMPUTED_VALUE"""),"Station Fail")</f>
        <v>Station Fail</v>
      </c>
      <c r="AE77" s="82">
        <f ca="1">IFERROR(__xludf.DUMMYFUNCTION("""COMPUTED_VALUE"""),1.344)</f>
        <v>1.3440000000000001</v>
      </c>
      <c r="AF77" s="83">
        <f ca="1">IFERROR(__xludf.DUMMYFUNCTION("""COMPUTED_VALUE"""),3)</f>
        <v>3</v>
      </c>
      <c r="AG77" s="75" t="str">
        <f ca="1">IFERROR(__xludf.DUMMYFUNCTION("""COMPUTED_VALUE"""),"Station Fail")</f>
        <v>Station Fail</v>
      </c>
      <c r="AH77" s="82">
        <f ca="1">IFERROR(__xludf.DUMMYFUNCTION("""COMPUTED_VALUE"""),2.05714285714285)</f>
        <v>2.0571428571428498</v>
      </c>
      <c r="AI77" s="83">
        <f ca="1">IFERROR(__xludf.DUMMYFUNCTION("""COMPUTED_VALUE"""),3)</f>
        <v>3</v>
      </c>
      <c r="AJ77" s="75" t="str">
        <f ca="1">IFERROR(__xludf.DUMMYFUNCTION("""COMPUTED_VALUE"""),"Pass")</f>
        <v>Pass</v>
      </c>
      <c r="AK77" s="82">
        <f ca="1">IFERROR(__xludf.DUMMYFUNCTION("""COMPUTED_VALUE"""),2.1)</f>
        <v>2.1</v>
      </c>
      <c r="AL77" s="83">
        <f ca="1">IFERROR(__xludf.DUMMYFUNCTION("""COMPUTED_VALUE"""),4)</f>
        <v>4</v>
      </c>
      <c r="AM77" s="75" t="str">
        <f ca="1">IFERROR(__xludf.DUMMYFUNCTION("""COMPUTED_VALUE"""),"Pass")</f>
        <v>Pass</v>
      </c>
      <c r="AN77" s="82">
        <f ca="1">IFERROR(__xludf.DUMMYFUNCTION("""COMPUTED_VALUE"""),1.29230769230769)</f>
        <v>1.2923076923076899</v>
      </c>
      <c r="AO77" s="83">
        <f ca="1">IFERROR(__xludf.DUMMYFUNCTION("""COMPUTED_VALUE"""),3)</f>
        <v>3</v>
      </c>
      <c r="AP77" s="75" t="str">
        <f ca="1">IFERROR(__xludf.DUMMYFUNCTION("""COMPUTED_VALUE"""),"Station Fail")</f>
        <v>Station Fail</v>
      </c>
      <c r="AQ77" s="82"/>
      <c r="AR77" s="83"/>
      <c r="AS77" s="75"/>
      <c r="AT77" s="82"/>
      <c r="AU77" s="83"/>
      <c r="AV77" s="75"/>
      <c r="AW77" s="82"/>
      <c r="AX77" s="83"/>
      <c r="AY77" s="75"/>
      <c r="AZ77" s="82"/>
      <c r="BA77" s="83"/>
      <c r="BB77" s="75"/>
      <c r="BC77" s="82"/>
      <c r="BD77" s="83"/>
      <c r="BE77" s="75"/>
      <c r="BF77" s="82"/>
      <c r="BG77" s="83"/>
      <c r="BH77" s="75"/>
      <c r="BI77" s="46"/>
    </row>
    <row r="78" spans="1:61" ht="22.5" customHeight="1" x14ac:dyDescent="0.25">
      <c r="A78" s="46"/>
      <c r="B78" s="85"/>
      <c r="C78" s="75"/>
      <c r="D78" s="75"/>
      <c r="E78" s="75"/>
      <c r="F78" s="76"/>
      <c r="G78" s="77">
        <f ca="1">IFERROR(__xludf.DUMMYFUNCTION("""COMPUTED_VALUE"""),1)</f>
        <v>1</v>
      </c>
      <c r="H78" s="78">
        <f ca="1">IFERROR(__xludf.DUMMYFUNCTION("""COMPUTED_VALUE"""),9)</f>
        <v>9</v>
      </c>
      <c r="I78" s="79">
        <f ca="1">IFERROR(__xludf.DUMMYFUNCTION("""COMPUTED_VALUE"""),1)</f>
        <v>1</v>
      </c>
      <c r="J78" s="264"/>
      <c r="K78" s="82" t="str">
        <f ca="1">IFERROR(__xludf.DUMMYFUNCTION("""COMPUTED_VALUE"""),"-")</f>
        <v>-</v>
      </c>
      <c r="L78" s="81" t="str">
        <f ca="1">IFERROR(__xludf.DUMMYFUNCTION("""COMPUTED_VALUE"""),"Hold")</f>
        <v>Hold</v>
      </c>
      <c r="M78" s="82">
        <f ca="1">IFERROR(__xludf.DUMMYFUNCTION("""COMPUTED_VALUE"""),1.72499999999999)</f>
        <v>1.7249999999999901</v>
      </c>
      <c r="N78" s="83">
        <f ca="1">IFERROR(__xludf.DUMMYFUNCTION("""COMPUTED_VALUE"""),4)</f>
        <v>4</v>
      </c>
      <c r="O78" s="75" t="str">
        <f ca="1">IFERROR(__xludf.DUMMYFUNCTION("""COMPUTED_VALUE"""),"Pass")</f>
        <v>Pass</v>
      </c>
      <c r="P78" s="82">
        <f ca="1">IFERROR(__xludf.DUMMYFUNCTION("""COMPUTED_VALUE"""),2.24516129032258)</f>
        <v>2.2451612903225802</v>
      </c>
      <c r="Q78" s="83">
        <f ca="1">IFERROR(__xludf.DUMMYFUNCTION("""COMPUTED_VALUE"""),5)</f>
        <v>5</v>
      </c>
      <c r="R78" s="75" t="str">
        <f ca="1">IFERROR(__xludf.DUMMYFUNCTION("""COMPUTED_VALUE"""),"Pass")</f>
        <v>Pass</v>
      </c>
      <c r="S78" s="82">
        <f ca="1">IFERROR(__xludf.DUMMYFUNCTION("""COMPUTED_VALUE"""),1.7)</f>
        <v>1.7</v>
      </c>
      <c r="T78" s="83">
        <f ca="1">IFERROR(__xludf.DUMMYFUNCTION("""COMPUTED_VALUE"""),3)</f>
        <v>3</v>
      </c>
      <c r="U78" s="75" t="str">
        <f ca="1">IFERROR(__xludf.DUMMYFUNCTION("""COMPUTED_VALUE"""),"Pass")</f>
        <v>Pass</v>
      </c>
      <c r="V78" s="82">
        <f ca="1">IFERROR(__xludf.DUMMYFUNCTION("""COMPUTED_VALUE"""),1.56)</f>
        <v>1.56</v>
      </c>
      <c r="W78" s="83">
        <f ca="1">IFERROR(__xludf.DUMMYFUNCTION("""COMPUTED_VALUE"""),4)</f>
        <v>4</v>
      </c>
      <c r="X78" s="75" t="str">
        <f ca="1">IFERROR(__xludf.DUMMYFUNCTION("""COMPUTED_VALUE"""),"Pass")</f>
        <v>Pass</v>
      </c>
      <c r="Y78" s="82">
        <f ca="1">IFERROR(__xludf.DUMMYFUNCTION("""COMPUTED_VALUE"""),2.4)</f>
        <v>2.4</v>
      </c>
      <c r="Z78" s="83">
        <f ca="1">IFERROR(__xludf.DUMMYFUNCTION("""COMPUTED_VALUE"""),5)</f>
        <v>5</v>
      </c>
      <c r="AA78" s="75" t="str">
        <f ca="1">IFERROR(__xludf.DUMMYFUNCTION("""COMPUTED_VALUE"""),"Pass")</f>
        <v>Pass</v>
      </c>
      <c r="AB78" s="82">
        <f ca="1">IFERROR(__xludf.DUMMYFUNCTION("""COMPUTED_VALUE"""),1)</f>
        <v>1</v>
      </c>
      <c r="AC78" s="83">
        <f ca="1">IFERROR(__xludf.DUMMYFUNCTION("""COMPUTED_VALUE"""),3)</f>
        <v>3</v>
      </c>
      <c r="AD78" s="75" t="str">
        <f ca="1">IFERROR(__xludf.DUMMYFUNCTION("""COMPUTED_VALUE"""),"Station Fail")</f>
        <v>Station Fail</v>
      </c>
      <c r="AE78" s="82">
        <f ca="1">IFERROR(__xludf.DUMMYFUNCTION("""COMPUTED_VALUE"""),2.208)</f>
        <v>2.2080000000000002</v>
      </c>
      <c r="AF78" s="83">
        <f ca="1">IFERROR(__xludf.DUMMYFUNCTION("""COMPUTED_VALUE"""),4)</f>
        <v>4</v>
      </c>
      <c r="AG78" s="75" t="str">
        <f ca="1">IFERROR(__xludf.DUMMYFUNCTION("""COMPUTED_VALUE"""),"Pass")</f>
        <v>Pass</v>
      </c>
      <c r="AH78" s="82">
        <f ca="1">IFERROR(__xludf.DUMMYFUNCTION("""COMPUTED_VALUE"""),1.71428571428571)</f>
        <v>1.71428571428571</v>
      </c>
      <c r="AI78" s="83">
        <f ca="1">IFERROR(__xludf.DUMMYFUNCTION("""COMPUTED_VALUE"""),3)</f>
        <v>3</v>
      </c>
      <c r="AJ78" s="75" t="str">
        <f ca="1">IFERROR(__xludf.DUMMYFUNCTION("""COMPUTED_VALUE"""),"Pass")</f>
        <v>Pass</v>
      </c>
      <c r="AK78" s="82">
        <f ca="1">IFERROR(__xludf.DUMMYFUNCTION("""COMPUTED_VALUE"""),1.65)</f>
        <v>1.65</v>
      </c>
      <c r="AL78" s="83">
        <f ca="1">IFERROR(__xludf.DUMMYFUNCTION("""COMPUTED_VALUE"""),3)</f>
        <v>3</v>
      </c>
      <c r="AM78" s="75" t="str">
        <f ca="1">IFERROR(__xludf.DUMMYFUNCTION("""COMPUTED_VALUE"""),"Pass")</f>
        <v>Pass</v>
      </c>
      <c r="AN78" s="82"/>
      <c r="AO78" s="83"/>
      <c r="AP78" s="75" t="str">
        <f ca="1">IFERROR(__xludf.DUMMYFUNCTION("""COMPUTED_VALUE"""),"Not Taken")</f>
        <v>Not Taken</v>
      </c>
      <c r="AQ78" s="82"/>
      <c r="AR78" s="83"/>
      <c r="AS78" s="75"/>
      <c r="AT78" s="82"/>
      <c r="AU78" s="83"/>
      <c r="AV78" s="75"/>
      <c r="AW78" s="82"/>
      <c r="AX78" s="83"/>
      <c r="AY78" s="75"/>
      <c r="AZ78" s="82"/>
      <c r="BA78" s="83"/>
      <c r="BB78" s="75"/>
      <c r="BC78" s="82"/>
      <c r="BD78" s="83"/>
      <c r="BE78" s="75"/>
      <c r="BF78" s="82"/>
      <c r="BG78" s="83"/>
      <c r="BH78" s="75"/>
      <c r="BI78" s="46"/>
    </row>
    <row r="79" spans="1:61" ht="22.5" customHeight="1" x14ac:dyDescent="0.25">
      <c r="A79" s="46"/>
      <c r="B79" s="85"/>
      <c r="C79" s="75"/>
      <c r="D79" s="75"/>
      <c r="E79" s="75"/>
      <c r="F79" s="76"/>
      <c r="G79" s="77">
        <f ca="1">IFERROR(__xludf.DUMMYFUNCTION("""COMPUTED_VALUE"""),0)</f>
        <v>0</v>
      </c>
      <c r="H79" s="78">
        <f ca="1">IFERROR(__xludf.DUMMYFUNCTION("""COMPUTED_VALUE"""),10)</f>
        <v>10</v>
      </c>
      <c r="I79" s="79">
        <f ca="1">IFERROR(__xludf.DUMMYFUNCTION("""COMPUTED_VALUE"""),4)</f>
        <v>4</v>
      </c>
      <c r="J79" s="264"/>
      <c r="K79" s="82">
        <f ca="1">IFERROR(__xludf.DUMMYFUNCTION("""COMPUTED_VALUE"""),15.82)</f>
        <v>15.82</v>
      </c>
      <c r="L79" s="81" t="str">
        <f ca="1">IFERROR(__xludf.DUMMYFUNCTION("""COMPUTED_VALUE"""),"Pass")</f>
        <v>Pass</v>
      </c>
      <c r="M79" s="82">
        <f ca="1">IFERROR(__xludf.DUMMYFUNCTION("""COMPUTED_VALUE"""),1.425)</f>
        <v>1.425</v>
      </c>
      <c r="N79" s="83">
        <f ca="1">IFERROR(__xludf.DUMMYFUNCTION("""COMPUTED_VALUE"""),4)</f>
        <v>4</v>
      </c>
      <c r="O79" s="75" t="str">
        <f ca="1">IFERROR(__xludf.DUMMYFUNCTION("""COMPUTED_VALUE"""),"Station Fail")</f>
        <v>Station Fail</v>
      </c>
      <c r="P79" s="82">
        <f ca="1">IFERROR(__xludf.DUMMYFUNCTION("""COMPUTED_VALUE"""),1.85806451612903)</f>
        <v>1.8580645161290299</v>
      </c>
      <c r="Q79" s="83">
        <f ca="1">IFERROR(__xludf.DUMMYFUNCTION("""COMPUTED_VALUE"""),4)</f>
        <v>4</v>
      </c>
      <c r="R79" s="75" t="str">
        <f ca="1">IFERROR(__xludf.DUMMYFUNCTION("""COMPUTED_VALUE"""),"Pass")</f>
        <v>Pass</v>
      </c>
      <c r="S79" s="82">
        <f ca="1">IFERROR(__xludf.DUMMYFUNCTION("""COMPUTED_VALUE"""),1.29999999999999)</f>
        <v>1.2999999999999901</v>
      </c>
      <c r="T79" s="83">
        <f ca="1">IFERROR(__xludf.DUMMYFUNCTION("""COMPUTED_VALUE"""),3)</f>
        <v>3</v>
      </c>
      <c r="U79" s="75" t="str">
        <f ca="1">IFERROR(__xludf.DUMMYFUNCTION("""COMPUTED_VALUE"""),"Station Fail")</f>
        <v>Station Fail</v>
      </c>
      <c r="V79" s="82">
        <f ca="1">IFERROR(__xludf.DUMMYFUNCTION("""COMPUTED_VALUE"""),2.16)</f>
        <v>2.16</v>
      </c>
      <c r="W79" s="83">
        <f ca="1">IFERROR(__xludf.DUMMYFUNCTION("""COMPUTED_VALUE"""),4)</f>
        <v>4</v>
      </c>
      <c r="X79" s="75" t="str">
        <f ca="1">IFERROR(__xludf.DUMMYFUNCTION("""COMPUTED_VALUE"""),"Pass")</f>
        <v>Pass</v>
      </c>
      <c r="Y79" s="82">
        <f ca="1">IFERROR(__xludf.DUMMYFUNCTION("""COMPUTED_VALUE"""),2.4)</f>
        <v>2.4</v>
      </c>
      <c r="Z79" s="83">
        <f ca="1">IFERROR(__xludf.DUMMYFUNCTION("""COMPUTED_VALUE"""),4)</f>
        <v>4</v>
      </c>
      <c r="AA79" s="75" t="str">
        <f ca="1">IFERROR(__xludf.DUMMYFUNCTION("""COMPUTED_VALUE"""),"Pass")</f>
        <v>Pass</v>
      </c>
      <c r="AB79" s="82">
        <f ca="1">IFERROR(__xludf.DUMMYFUNCTION("""COMPUTED_VALUE"""),1)</f>
        <v>1</v>
      </c>
      <c r="AC79" s="83">
        <f ca="1">IFERROR(__xludf.DUMMYFUNCTION("""COMPUTED_VALUE"""),1)</f>
        <v>1</v>
      </c>
      <c r="AD79" s="75" t="str">
        <f ca="1">IFERROR(__xludf.DUMMYFUNCTION("""COMPUTED_VALUE"""),"Station Fail")</f>
        <v>Station Fail</v>
      </c>
      <c r="AE79" s="82">
        <f ca="1">IFERROR(__xludf.DUMMYFUNCTION("""COMPUTED_VALUE"""),2.016)</f>
        <v>2.016</v>
      </c>
      <c r="AF79" s="83">
        <f ca="1">IFERROR(__xludf.DUMMYFUNCTION("""COMPUTED_VALUE"""),5)</f>
        <v>5</v>
      </c>
      <c r="AG79" s="75" t="str">
        <f ca="1">IFERROR(__xludf.DUMMYFUNCTION("""COMPUTED_VALUE"""),"Pass")</f>
        <v>Pass</v>
      </c>
      <c r="AH79" s="82">
        <f ca="1">IFERROR(__xludf.DUMMYFUNCTION("""COMPUTED_VALUE"""),1.78285714285714)</f>
        <v>1.78285714285714</v>
      </c>
      <c r="AI79" s="83">
        <f ca="1">IFERROR(__xludf.DUMMYFUNCTION("""COMPUTED_VALUE"""),3)</f>
        <v>3</v>
      </c>
      <c r="AJ79" s="75" t="str">
        <f ca="1">IFERROR(__xludf.DUMMYFUNCTION("""COMPUTED_VALUE"""),"Pass")</f>
        <v>Pass</v>
      </c>
      <c r="AK79" s="82">
        <f ca="1">IFERROR(__xludf.DUMMYFUNCTION("""COMPUTED_VALUE"""),1.875)</f>
        <v>1.875</v>
      </c>
      <c r="AL79" s="83">
        <f ca="1">IFERROR(__xludf.DUMMYFUNCTION("""COMPUTED_VALUE"""),3)</f>
        <v>3</v>
      </c>
      <c r="AM79" s="75" t="str">
        <f ca="1">IFERROR(__xludf.DUMMYFUNCTION("""COMPUTED_VALUE"""),"Pass")</f>
        <v>Pass</v>
      </c>
      <c r="AN79" s="82">
        <f ca="1">IFERROR(__xludf.DUMMYFUNCTION("""COMPUTED_VALUE"""),0)</f>
        <v>0</v>
      </c>
      <c r="AO79" s="83">
        <f ca="1">IFERROR(__xludf.DUMMYFUNCTION("""COMPUTED_VALUE"""),1)</f>
        <v>1</v>
      </c>
      <c r="AP79" s="75" t="str">
        <f ca="1">IFERROR(__xludf.DUMMYFUNCTION("""COMPUTED_VALUE"""),"Station Fail")</f>
        <v>Station Fail</v>
      </c>
      <c r="AQ79" s="82"/>
      <c r="AR79" s="83"/>
      <c r="AS79" s="75"/>
      <c r="AT79" s="82"/>
      <c r="AU79" s="83"/>
      <c r="AV79" s="75"/>
      <c r="AW79" s="82"/>
      <c r="AX79" s="83"/>
      <c r="AY79" s="75"/>
      <c r="AZ79" s="82"/>
      <c r="BA79" s="83"/>
      <c r="BB79" s="75"/>
      <c r="BC79" s="82"/>
      <c r="BD79" s="83"/>
      <c r="BE79" s="75"/>
      <c r="BF79" s="82"/>
      <c r="BG79" s="83"/>
      <c r="BH79" s="75"/>
      <c r="BI79" s="46"/>
    </row>
    <row r="80" spans="1:61" ht="22.5" customHeight="1" x14ac:dyDescent="0.25">
      <c r="A80" s="46"/>
      <c r="B80" s="85"/>
      <c r="C80" s="75"/>
      <c r="D80" s="75"/>
      <c r="E80" s="75"/>
      <c r="F80" s="76"/>
      <c r="G80" s="77">
        <f ca="1">IFERROR(__xludf.DUMMYFUNCTION("""COMPUTED_VALUE"""),0)</f>
        <v>0</v>
      </c>
      <c r="H80" s="78">
        <f ca="1">IFERROR(__xludf.DUMMYFUNCTION("""COMPUTED_VALUE"""),10)</f>
        <v>10</v>
      </c>
      <c r="I80" s="79">
        <f ca="1">IFERROR(__xludf.DUMMYFUNCTION("""COMPUTED_VALUE"""),1)</f>
        <v>1</v>
      </c>
      <c r="J80" s="264"/>
      <c r="K80" s="82">
        <f ca="1">IFERROR(__xludf.DUMMYFUNCTION("""COMPUTED_VALUE"""),20.38)</f>
        <v>20.38</v>
      </c>
      <c r="L80" s="81" t="str">
        <f ca="1">IFERROR(__xludf.DUMMYFUNCTION("""COMPUTED_VALUE"""),"Pass")</f>
        <v>Pass</v>
      </c>
      <c r="M80" s="82">
        <f ca="1">IFERROR(__xludf.DUMMYFUNCTION("""COMPUTED_VALUE"""),2.025)</f>
        <v>2.0249999999999999</v>
      </c>
      <c r="N80" s="83">
        <f ca="1">IFERROR(__xludf.DUMMYFUNCTION("""COMPUTED_VALUE"""),4)</f>
        <v>4</v>
      </c>
      <c r="O80" s="75" t="str">
        <f ca="1">IFERROR(__xludf.DUMMYFUNCTION("""COMPUTED_VALUE"""),"Pass")</f>
        <v>Pass</v>
      </c>
      <c r="P80" s="82">
        <f ca="1">IFERROR(__xludf.DUMMYFUNCTION("""COMPUTED_VALUE"""),2.4)</f>
        <v>2.4</v>
      </c>
      <c r="Q80" s="83">
        <f ca="1">IFERROR(__xludf.DUMMYFUNCTION("""COMPUTED_VALUE"""),5)</f>
        <v>5</v>
      </c>
      <c r="R80" s="75" t="str">
        <f ca="1">IFERROR(__xludf.DUMMYFUNCTION("""COMPUTED_VALUE"""),"Pass")</f>
        <v>Pass</v>
      </c>
      <c r="S80" s="82">
        <f ca="1">IFERROR(__xludf.DUMMYFUNCTION("""COMPUTED_VALUE"""),1.9)</f>
        <v>1.9</v>
      </c>
      <c r="T80" s="83">
        <f ca="1">IFERROR(__xludf.DUMMYFUNCTION("""COMPUTED_VALUE"""),4)</f>
        <v>4</v>
      </c>
      <c r="U80" s="75" t="str">
        <f ca="1">IFERROR(__xludf.DUMMYFUNCTION("""COMPUTED_VALUE"""),"Pass")</f>
        <v>Pass</v>
      </c>
      <c r="V80" s="82">
        <f ca="1">IFERROR(__xludf.DUMMYFUNCTION("""COMPUTED_VALUE"""),2.28)</f>
        <v>2.2799999999999998</v>
      </c>
      <c r="W80" s="83">
        <f ca="1">IFERROR(__xludf.DUMMYFUNCTION("""COMPUTED_VALUE"""),5)</f>
        <v>5</v>
      </c>
      <c r="X80" s="75" t="str">
        <f ca="1">IFERROR(__xludf.DUMMYFUNCTION("""COMPUTED_VALUE"""),"Pass")</f>
        <v>Pass</v>
      </c>
      <c r="Y80" s="82">
        <f ca="1">IFERROR(__xludf.DUMMYFUNCTION("""COMPUTED_VALUE"""),2.4)</f>
        <v>2.4</v>
      </c>
      <c r="Z80" s="83">
        <f ca="1">IFERROR(__xludf.DUMMYFUNCTION("""COMPUTED_VALUE"""),5)</f>
        <v>5</v>
      </c>
      <c r="AA80" s="75" t="str">
        <f ca="1">IFERROR(__xludf.DUMMYFUNCTION("""COMPUTED_VALUE"""),"Pass")</f>
        <v>Pass</v>
      </c>
      <c r="AB80" s="82">
        <f ca="1">IFERROR(__xludf.DUMMYFUNCTION("""COMPUTED_VALUE"""),2.19999999999999)</f>
        <v>2.19999999999999</v>
      </c>
      <c r="AC80" s="83">
        <f ca="1">IFERROR(__xludf.DUMMYFUNCTION("""COMPUTED_VALUE"""),4)</f>
        <v>4</v>
      </c>
      <c r="AD80" s="75" t="str">
        <f ca="1">IFERROR(__xludf.DUMMYFUNCTION("""COMPUTED_VALUE"""),"Pass")</f>
        <v>Pass</v>
      </c>
      <c r="AE80" s="82">
        <f ca="1">IFERROR(__xludf.DUMMYFUNCTION("""COMPUTED_VALUE"""),2.112)</f>
        <v>2.1120000000000001</v>
      </c>
      <c r="AF80" s="83">
        <f ca="1">IFERROR(__xludf.DUMMYFUNCTION("""COMPUTED_VALUE"""),4)</f>
        <v>4</v>
      </c>
      <c r="AG80" s="75" t="str">
        <f ca="1">IFERROR(__xludf.DUMMYFUNCTION("""COMPUTED_VALUE"""),"Pass")</f>
        <v>Pass</v>
      </c>
      <c r="AH80" s="82">
        <f ca="1">IFERROR(__xludf.DUMMYFUNCTION("""COMPUTED_VALUE"""),1.85142857142857)</f>
        <v>1.8514285714285701</v>
      </c>
      <c r="AI80" s="83">
        <f ca="1">IFERROR(__xludf.DUMMYFUNCTION("""COMPUTED_VALUE"""),3)</f>
        <v>3</v>
      </c>
      <c r="AJ80" s="75" t="str">
        <f ca="1">IFERROR(__xludf.DUMMYFUNCTION("""COMPUTED_VALUE"""),"Pass")</f>
        <v>Pass</v>
      </c>
      <c r="AK80" s="82">
        <f ca="1">IFERROR(__xludf.DUMMYFUNCTION("""COMPUTED_VALUE"""),2.1)</f>
        <v>2.1</v>
      </c>
      <c r="AL80" s="83">
        <f ca="1">IFERROR(__xludf.DUMMYFUNCTION("""COMPUTED_VALUE"""),4)</f>
        <v>4</v>
      </c>
      <c r="AM80" s="75" t="str">
        <f ca="1">IFERROR(__xludf.DUMMYFUNCTION("""COMPUTED_VALUE"""),"Pass")</f>
        <v>Pass</v>
      </c>
      <c r="AN80" s="82">
        <f ca="1">IFERROR(__xludf.DUMMYFUNCTION("""COMPUTED_VALUE"""),1.1076923076923)</f>
        <v>1.1076923076923</v>
      </c>
      <c r="AO80" s="83">
        <f ca="1">IFERROR(__xludf.DUMMYFUNCTION("""COMPUTED_VALUE"""),3)</f>
        <v>3</v>
      </c>
      <c r="AP80" s="75" t="str">
        <f ca="1">IFERROR(__xludf.DUMMYFUNCTION("""COMPUTED_VALUE"""),"Station Fail")</f>
        <v>Station Fail</v>
      </c>
      <c r="AQ80" s="82"/>
      <c r="AR80" s="83"/>
      <c r="AS80" s="75"/>
      <c r="AT80" s="82"/>
      <c r="AU80" s="83"/>
      <c r="AV80" s="75"/>
      <c r="AW80" s="82"/>
      <c r="AX80" s="83"/>
      <c r="AY80" s="75"/>
      <c r="AZ80" s="82"/>
      <c r="BA80" s="83"/>
      <c r="BB80" s="75"/>
      <c r="BC80" s="82"/>
      <c r="BD80" s="83"/>
      <c r="BE80" s="75"/>
      <c r="BF80" s="82"/>
      <c r="BG80" s="83"/>
      <c r="BH80" s="75"/>
      <c r="BI80" s="46"/>
    </row>
    <row r="81" spans="1:61" ht="22.5" customHeight="1" x14ac:dyDescent="0.25">
      <c r="A81" s="46"/>
      <c r="B81" s="85"/>
      <c r="C81" s="75"/>
      <c r="D81" s="75"/>
      <c r="E81" s="75"/>
      <c r="F81" s="76"/>
      <c r="G81" s="77">
        <f ca="1">IFERROR(__xludf.DUMMYFUNCTION("""COMPUTED_VALUE"""),0)</f>
        <v>0</v>
      </c>
      <c r="H81" s="78">
        <f ca="1">IFERROR(__xludf.DUMMYFUNCTION("""COMPUTED_VALUE"""),10)</f>
        <v>10</v>
      </c>
      <c r="I81" s="79">
        <f ca="1">IFERROR(__xludf.DUMMYFUNCTION("""COMPUTED_VALUE"""),2)</f>
        <v>2</v>
      </c>
      <c r="J81" s="264"/>
      <c r="K81" s="82">
        <f ca="1">IFERROR(__xludf.DUMMYFUNCTION("""COMPUTED_VALUE"""),17.09)</f>
        <v>17.09</v>
      </c>
      <c r="L81" s="81" t="str">
        <f ca="1">IFERROR(__xludf.DUMMYFUNCTION("""COMPUTED_VALUE"""),"Pass")</f>
        <v>Pass</v>
      </c>
      <c r="M81" s="82">
        <f ca="1">IFERROR(__xludf.DUMMYFUNCTION("""COMPUTED_VALUE"""),1.72499999999999)</f>
        <v>1.7249999999999901</v>
      </c>
      <c r="N81" s="83">
        <f ca="1">IFERROR(__xludf.DUMMYFUNCTION("""COMPUTED_VALUE"""),4)</f>
        <v>4</v>
      </c>
      <c r="O81" s="75" t="str">
        <f ca="1">IFERROR(__xludf.DUMMYFUNCTION("""COMPUTED_VALUE"""),"Pass")</f>
        <v>Pass</v>
      </c>
      <c r="P81" s="82">
        <f ca="1">IFERROR(__xludf.DUMMYFUNCTION("""COMPUTED_VALUE"""),1.6258064516129)</f>
        <v>1.6258064516129</v>
      </c>
      <c r="Q81" s="83">
        <f ca="1">IFERROR(__xludf.DUMMYFUNCTION("""COMPUTED_VALUE"""),3)</f>
        <v>3</v>
      </c>
      <c r="R81" s="75" t="str">
        <f ca="1">IFERROR(__xludf.DUMMYFUNCTION("""COMPUTED_VALUE"""),"Pass")</f>
        <v>Pass</v>
      </c>
      <c r="S81" s="82">
        <f ca="1">IFERROR(__xludf.DUMMYFUNCTION("""COMPUTED_VALUE"""),1.7)</f>
        <v>1.7</v>
      </c>
      <c r="T81" s="83">
        <f ca="1">IFERROR(__xludf.DUMMYFUNCTION("""COMPUTED_VALUE"""),3)</f>
        <v>3</v>
      </c>
      <c r="U81" s="75" t="str">
        <f ca="1">IFERROR(__xludf.DUMMYFUNCTION("""COMPUTED_VALUE"""),"Pass")</f>
        <v>Pass</v>
      </c>
      <c r="V81" s="82">
        <f ca="1">IFERROR(__xludf.DUMMYFUNCTION("""COMPUTED_VALUE"""),1.92)</f>
        <v>1.92</v>
      </c>
      <c r="W81" s="83">
        <f ca="1">IFERROR(__xludf.DUMMYFUNCTION("""COMPUTED_VALUE"""),4)</f>
        <v>4</v>
      </c>
      <c r="X81" s="75" t="str">
        <f ca="1">IFERROR(__xludf.DUMMYFUNCTION("""COMPUTED_VALUE"""),"Pass")</f>
        <v>Pass</v>
      </c>
      <c r="Y81" s="82">
        <f ca="1">IFERROR(__xludf.DUMMYFUNCTION("""COMPUTED_VALUE"""),2.4)</f>
        <v>2.4</v>
      </c>
      <c r="Z81" s="83">
        <f ca="1">IFERROR(__xludf.DUMMYFUNCTION("""COMPUTED_VALUE"""),5)</f>
        <v>5</v>
      </c>
      <c r="AA81" s="75" t="str">
        <f ca="1">IFERROR(__xludf.DUMMYFUNCTION("""COMPUTED_VALUE"""),"Pass")</f>
        <v>Pass</v>
      </c>
      <c r="AB81" s="82">
        <f ca="1">IFERROR(__xludf.DUMMYFUNCTION("""COMPUTED_VALUE"""),1.2)</f>
        <v>1.2</v>
      </c>
      <c r="AC81" s="83">
        <f ca="1">IFERROR(__xludf.DUMMYFUNCTION("""COMPUTED_VALUE"""),2)</f>
        <v>2</v>
      </c>
      <c r="AD81" s="75" t="str">
        <f ca="1">IFERROR(__xludf.DUMMYFUNCTION("""COMPUTED_VALUE"""),"Station Fail")</f>
        <v>Station Fail</v>
      </c>
      <c r="AE81" s="82">
        <f ca="1">IFERROR(__xludf.DUMMYFUNCTION("""COMPUTED_VALUE"""),2.016)</f>
        <v>2.016</v>
      </c>
      <c r="AF81" s="83">
        <f ca="1">IFERROR(__xludf.DUMMYFUNCTION("""COMPUTED_VALUE"""),4)</f>
        <v>4</v>
      </c>
      <c r="AG81" s="75" t="str">
        <f ca="1">IFERROR(__xludf.DUMMYFUNCTION("""COMPUTED_VALUE"""),"Pass")</f>
        <v>Pass</v>
      </c>
      <c r="AH81" s="82">
        <f ca="1">IFERROR(__xludf.DUMMYFUNCTION("""COMPUTED_VALUE"""),1.92)</f>
        <v>1.92</v>
      </c>
      <c r="AI81" s="83">
        <f ca="1">IFERROR(__xludf.DUMMYFUNCTION("""COMPUTED_VALUE"""),4)</f>
        <v>4</v>
      </c>
      <c r="AJ81" s="75" t="str">
        <f ca="1">IFERROR(__xludf.DUMMYFUNCTION("""COMPUTED_VALUE"""),"Pass")</f>
        <v>Pass</v>
      </c>
      <c r="AK81" s="82">
        <f ca="1">IFERROR(__xludf.DUMMYFUNCTION("""COMPUTED_VALUE"""),2.025)</f>
        <v>2.0249999999999999</v>
      </c>
      <c r="AL81" s="83">
        <f ca="1">IFERROR(__xludf.DUMMYFUNCTION("""COMPUTED_VALUE"""),4)</f>
        <v>4</v>
      </c>
      <c r="AM81" s="75" t="str">
        <f ca="1">IFERROR(__xludf.DUMMYFUNCTION("""COMPUTED_VALUE"""),"Pass")</f>
        <v>Pass</v>
      </c>
      <c r="AN81" s="82">
        <f ca="1">IFERROR(__xludf.DUMMYFUNCTION("""COMPUTED_VALUE"""),0.553846153846153)</f>
        <v>0.55384615384615299</v>
      </c>
      <c r="AO81" s="83">
        <f ca="1">IFERROR(__xludf.DUMMYFUNCTION("""COMPUTED_VALUE"""),1)</f>
        <v>1</v>
      </c>
      <c r="AP81" s="75" t="str">
        <f ca="1">IFERROR(__xludf.DUMMYFUNCTION("""COMPUTED_VALUE"""),"Station Fail")</f>
        <v>Station Fail</v>
      </c>
      <c r="AQ81" s="82"/>
      <c r="AR81" s="83"/>
      <c r="AS81" s="75"/>
      <c r="AT81" s="82"/>
      <c r="AU81" s="83"/>
      <c r="AV81" s="75"/>
      <c r="AW81" s="82"/>
      <c r="AX81" s="83"/>
      <c r="AY81" s="75"/>
      <c r="AZ81" s="82"/>
      <c r="BA81" s="83"/>
      <c r="BB81" s="75"/>
      <c r="BC81" s="82"/>
      <c r="BD81" s="83"/>
      <c r="BE81" s="75"/>
      <c r="BF81" s="82"/>
      <c r="BG81" s="83"/>
      <c r="BH81" s="75"/>
      <c r="BI81" s="46"/>
    </row>
    <row r="82" spans="1:61" ht="22.5" customHeight="1" x14ac:dyDescent="0.25">
      <c r="A82" s="46"/>
      <c r="B82" s="85"/>
      <c r="C82" s="75"/>
      <c r="D82" s="75"/>
      <c r="E82" s="75"/>
      <c r="F82" s="76"/>
      <c r="G82" s="77">
        <f ca="1">IFERROR(__xludf.DUMMYFUNCTION("""COMPUTED_VALUE"""),0)</f>
        <v>0</v>
      </c>
      <c r="H82" s="78">
        <f ca="1">IFERROR(__xludf.DUMMYFUNCTION("""COMPUTED_VALUE"""),10)</f>
        <v>10</v>
      </c>
      <c r="I82" s="79">
        <f ca="1">IFERROR(__xludf.DUMMYFUNCTION("""COMPUTED_VALUE"""),4)</f>
        <v>4</v>
      </c>
      <c r="J82" s="264"/>
      <c r="K82" s="82">
        <f ca="1">IFERROR(__xludf.DUMMYFUNCTION("""COMPUTED_VALUE"""),13.22)</f>
        <v>13.22</v>
      </c>
      <c r="L82" s="81" t="str">
        <f ca="1">IFERROR(__xludf.DUMMYFUNCTION("""COMPUTED_VALUE"""),"Fail")</f>
        <v>Fail</v>
      </c>
      <c r="M82" s="82">
        <f ca="1">IFERROR(__xludf.DUMMYFUNCTION("""COMPUTED_VALUE"""),1.79999999999999)</f>
        <v>1.7999999999999901</v>
      </c>
      <c r="N82" s="83">
        <f ca="1">IFERROR(__xludf.DUMMYFUNCTION("""COMPUTED_VALUE"""),4)</f>
        <v>4</v>
      </c>
      <c r="O82" s="75" t="str">
        <f ca="1">IFERROR(__xludf.DUMMYFUNCTION("""COMPUTED_VALUE"""),"Pass")</f>
        <v>Pass</v>
      </c>
      <c r="P82" s="82">
        <f ca="1">IFERROR(__xludf.DUMMYFUNCTION("""COMPUTED_VALUE"""),1.16129032258064)</f>
        <v>1.1612903225806399</v>
      </c>
      <c r="Q82" s="83">
        <f ca="1">IFERROR(__xludf.DUMMYFUNCTION("""COMPUTED_VALUE"""),3)</f>
        <v>3</v>
      </c>
      <c r="R82" s="75" t="str">
        <f ca="1">IFERROR(__xludf.DUMMYFUNCTION("""COMPUTED_VALUE"""),"Station Fail")</f>
        <v>Station Fail</v>
      </c>
      <c r="S82" s="82">
        <f ca="1">IFERROR(__xludf.DUMMYFUNCTION("""COMPUTED_VALUE"""),1.59999999999999)</f>
        <v>1.5999999999999901</v>
      </c>
      <c r="T82" s="83">
        <f ca="1">IFERROR(__xludf.DUMMYFUNCTION("""COMPUTED_VALUE"""),3)</f>
        <v>3</v>
      </c>
      <c r="U82" s="75" t="str">
        <f ca="1">IFERROR(__xludf.DUMMYFUNCTION("""COMPUTED_VALUE"""),"Pass")</f>
        <v>Pass</v>
      </c>
      <c r="V82" s="82">
        <f ca="1">IFERROR(__xludf.DUMMYFUNCTION("""COMPUTED_VALUE"""),0.72)</f>
        <v>0.72</v>
      </c>
      <c r="W82" s="83">
        <f ca="1">IFERROR(__xludf.DUMMYFUNCTION("""COMPUTED_VALUE"""),1)</f>
        <v>1</v>
      </c>
      <c r="X82" s="75" t="str">
        <f ca="1">IFERROR(__xludf.DUMMYFUNCTION("""COMPUTED_VALUE"""),"Station Fail")</f>
        <v>Station Fail</v>
      </c>
      <c r="Y82" s="82">
        <f ca="1">IFERROR(__xludf.DUMMYFUNCTION("""COMPUTED_VALUE"""),1.79999999999999)</f>
        <v>1.7999999999999901</v>
      </c>
      <c r="Z82" s="83">
        <f ca="1">IFERROR(__xludf.DUMMYFUNCTION("""COMPUTED_VALUE"""),4)</f>
        <v>4</v>
      </c>
      <c r="AA82" s="75" t="str">
        <f ca="1">IFERROR(__xludf.DUMMYFUNCTION("""COMPUTED_VALUE"""),"Pass")</f>
        <v>Pass</v>
      </c>
      <c r="AB82" s="82">
        <f ca="1">IFERROR(__xludf.DUMMYFUNCTION("""COMPUTED_VALUE"""),0.899999999999999)</f>
        <v>0.89999999999999902</v>
      </c>
      <c r="AC82" s="83">
        <f ca="1">IFERROR(__xludf.DUMMYFUNCTION("""COMPUTED_VALUE"""),2)</f>
        <v>2</v>
      </c>
      <c r="AD82" s="75" t="str">
        <f ca="1">IFERROR(__xludf.DUMMYFUNCTION("""COMPUTED_VALUE"""),"Station Fail")</f>
        <v>Station Fail</v>
      </c>
      <c r="AE82" s="82">
        <f ca="1">IFERROR(__xludf.DUMMYFUNCTION("""COMPUTED_VALUE"""),2.016)</f>
        <v>2.016</v>
      </c>
      <c r="AF82" s="83">
        <f ca="1">IFERROR(__xludf.DUMMYFUNCTION("""COMPUTED_VALUE"""),5)</f>
        <v>5</v>
      </c>
      <c r="AG82" s="75" t="str">
        <f ca="1">IFERROR(__xludf.DUMMYFUNCTION("""COMPUTED_VALUE"""),"Pass")</f>
        <v>Pass</v>
      </c>
      <c r="AH82" s="82">
        <f ca="1">IFERROR(__xludf.DUMMYFUNCTION("""COMPUTED_VALUE"""),1.64571428571428)</f>
        <v>1.6457142857142799</v>
      </c>
      <c r="AI82" s="83">
        <f ca="1">IFERROR(__xludf.DUMMYFUNCTION("""COMPUTED_VALUE"""),3)</f>
        <v>3</v>
      </c>
      <c r="AJ82" s="75" t="str">
        <f ca="1">IFERROR(__xludf.DUMMYFUNCTION("""COMPUTED_VALUE"""),"Pass")</f>
        <v>Pass</v>
      </c>
      <c r="AK82" s="82">
        <f ca="1">IFERROR(__xludf.DUMMYFUNCTION("""COMPUTED_VALUE"""),1.575)</f>
        <v>1.575</v>
      </c>
      <c r="AL82" s="83">
        <f ca="1">IFERROR(__xludf.DUMMYFUNCTION("""COMPUTED_VALUE"""),2)</f>
        <v>2</v>
      </c>
      <c r="AM82" s="75" t="str">
        <f ca="1">IFERROR(__xludf.DUMMYFUNCTION("""COMPUTED_VALUE"""),"Pass")</f>
        <v>Pass</v>
      </c>
      <c r="AN82" s="82">
        <f ca="1">IFERROR(__xludf.DUMMYFUNCTION("""COMPUTED_VALUE"""),0)</f>
        <v>0</v>
      </c>
      <c r="AO82" s="83">
        <f ca="1">IFERROR(__xludf.DUMMYFUNCTION("""COMPUTED_VALUE"""),1)</f>
        <v>1</v>
      </c>
      <c r="AP82" s="75" t="str">
        <f ca="1">IFERROR(__xludf.DUMMYFUNCTION("""COMPUTED_VALUE"""),"Station Fail")</f>
        <v>Station Fail</v>
      </c>
      <c r="AQ82" s="82"/>
      <c r="AR82" s="83"/>
      <c r="AS82" s="75"/>
      <c r="AT82" s="82"/>
      <c r="AU82" s="83"/>
      <c r="AV82" s="75"/>
      <c r="AW82" s="82"/>
      <c r="AX82" s="83"/>
      <c r="AY82" s="75"/>
      <c r="AZ82" s="82"/>
      <c r="BA82" s="83"/>
      <c r="BB82" s="75"/>
      <c r="BC82" s="82"/>
      <c r="BD82" s="83"/>
      <c r="BE82" s="75"/>
      <c r="BF82" s="82"/>
      <c r="BG82" s="83"/>
      <c r="BH82" s="75"/>
      <c r="BI82" s="46"/>
    </row>
    <row r="83" spans="1:61" ht="22.5" customHeight="1" x14ac:dyDescent="0.25">
      <c r="A83" s="46"/>
      <c r="B83" s="85"/>
      <c r="C83" s="75"/>
      <c r="D83" s="75"/>
      <c r="E83" s="75"/>
      <c r="F83" s="76"/>
      <c r="G83" s="77">
        <f ca="1">IFERROR(__xludf.DUMMYFUNCTION("""COMPUTED_VALUE"""),0)</f>
        <v>0</v>
      </c>
      <c r="H83" s="78">
        <f ca="1">IFERROR(__xludf.DUMMYFUNCTION("""COMPUTED_VALUE"""),10)</f>
        <v>10</v>
      </c>
      <c r="I83" s="79">
        <f ca="1">IFERROR(__xludf.DUMMYFUNCTION("""COMPUTED_VALUE"""),1)</f>
        <v>1</v>
      </c>
      <c r="J83" s="264"/>
      <c r="K83" s="82">
        <f ca="1">IFERROR(__xludf.DUMMYFUNCTION("""COMPUTED_VALUE"""),19.91)</f>
        <v>19.91</v>
      </c>
      <c r="L83" s="81" t="str">
        <f ca="1">IFERROR(__xludf.DUMMYFUNCTION("""COMPUTED_VALUE"""),"Pass")</f>
        <v>Pass</v>
      </c>
      <c r="M83" s="82">
        <f ca="1">IFERROR(__xludf.DUMMYFUNCTION("""COMPUTED_VALUE"""),2.025)</f>
        <v>2.0249999999999999</v>
      </c>
      <c r="N83" s="83">
        <f ca="1">IFERROR(__xludf.DUMMYFUNCTION("""COMPUTED_VALUE"""),5)</f>
        <v>5</v>
      </c>
      <c r="O83" s="75" t="str">
        <f ca="1">IFERROR(__xludf.DUMMYFUNCTION("""COMPUTED_VALUE"""),"Pass")</f>
        <v>Pass</v>
      </c>
      <c r="P83" s="82">
        <f ca="1">IFERROR(__xludf.DUMMYFUNCTION("""COMPUTED_VALUE"""),2.24516129032258)</f>
        <v>2.2451612903225802</v>
      </c>
      <c r="Q83" s="83">
        <f ca="1">IFERROR(__xludf.DUMMYFUNCTION("""COMPUTED_VALUE"""),5)</f>
        <v>5</v>
      </c>
      <c r="R83" s="75" t="str">
        <f ca="1">IFERROR(__xludf.DUMMYFUNCTION("""COMPUTED_VALUE"""),"Pass")</f>
        <v>Pass</v>
      </c>
      <c r="S83" s="82">
        <f ca="1">IFERROR(__xludf.DUMMYFUNCTION("""COMPUTED_VALUE"""),2.19999999999999)</f>
        <v>2.19999999999999</v>
      </c>
      <c r="T83" s="83">
        <f ca="1">IFERROR(__xludf.DUMMYFUNCTION("""COMPUTED_VALUE"""),5)</f>
        <v>5</v>
      </c>
      <c r="U83" s="75" t="str">
        <f ca="1">IFERROR(__xludf.DUMMYFUNCTION("""COMPUTED_VALUE"""),"Pass")</f>
        <v>Pass</v>
      </c>
      <c r="V83" s="82">
        <f ca="1">IFERROR(__xludf.DUMMYFUNCTION("""COMPUTED_VALUE"""),1.92)</f>
        <v>1.92</v>
      </c>
      <c r="W83" s="83">
        <f ca="1">IFERROR(__xludf.DUMMYFUNCTION("""COMPUTED_VALUE"""),4)</f>
        <v>4</v>
      </c>
      <c r="X83" s="75" t="str">
        <f ca="1">IFERROR(__xludf.DUMMYFUNCTION("""COMPUTED_VALUE"""),"Pass")</f>
        <v>Pass</v>
      </c>
      <c r="Y83" s="82">
        <f ca="1">IFERROR(__xludf.DUMMYFUNCTION("""COMPUTED_VALUE"""),2.4)</f>
        <v>2.4</v>
      </c>
      <c r="Z83" s="83">
        <f ca="1">IFERROR(__xludf.DUMMYFUNCTION("""COMPUTED_VALUE"""),4)</f>
        <v>4</v>
      </c>
      <c r="AA83" s="75" t="str">
        <f ca="1">IFERROR(__xludf.DUMMYFUNCTION("""COMPUTED_VALUE"""),"Pass")</f>
        <v>Pass</v>
      </c>
      <c r="AB83" s="82">
        <f ca="1">IFERROR(__xludf.DUMMYFUNCTION("""COMPUTED_VALUE"""),2.3)</f>
        <v>2.2999999999999998</v>
      </c>
      <c r="AC83" s="83">
        <f ca="1">IFERROR(__xludf.DUMMYFUNCTION("""COMPUTED_VALUE"""),5)</f>
        <v>5</v>
      </c>
      <c r="AD83" s="75" t="str">
        <f ca="1">IFERROR(__xludf.DUMMYFUNCTION("""COMPUTED_VALUE"""),"Pass")</f>
        <v>Pass</v>
      </c>
      <c r="AE83" s="82">
        <f ca="1">IFERROR(__xludf.DUMMYFUNCTION("""COMPUTED_VALUE"""),2.304)</f>
        <v>2.3039999999999998</v>
      </c>
      <c r="AF83" s="83">
        <f ca="1">IFERROR(__xludf.DUMMYFUNCTION("""COMPUTED_VALUE"""),5)</f>
        <v>5</v>
      </c>
      <c r="AG83" s="75" t="str">
        <f ca="1">IFERROR(__xludf.DUMMYFUNCTION("""COMPUTED_VALUE"""),"Pass")</f>
        <v>Pass</v>
      </c>
      <c r="AH83" s="82">
        <f ca="1">IFERROR(__xludf.DUMMYFUNCTION("""COMPUTED_VALUE"""),1.71428571428571)</f>
        <v>1.71428571428571</v>
      </c>
      <c r="AI83" s="83">
        <f ca="1">IFERROR(__xludf.DUMMYFUNCTION("""COMPUTED_VALUE"""),3)</f>
        <v>3</v>
      </c>
      <c r="AJ83" s="75" t="str">
        <f ca="1">IFERROR(__xludf.DUMMYFUNCTION("""COMPUTED_VALUE"""),"Pass")</f>
        <v>Pass</v>
      </c>
      <c r="AK83" s="82">
        <f ca="1">IFERROR(__xludf.DUMMYFUNCTION("""COMPUTED_VALUE"""),1.875)</f>
        <v>1.875</v>
      </c>
      <c r="AL83" s="83">
        <f ca="1">IFERROR(__xludf.DUMMYFUNCTION("""COMPUTED_VALUE"""),3)</f>
        <v>3</v>
      </c>
      <c r="AM83" s="75" t="str">
        <f ca="1">IFERROR(__xludf.DUMMYFUNCTION("""COMPUTED_VALUE"""),"Pass")</f>
        <v>Pass</v>
      </c>
      <c r="AN83" s="82">
        <f ca="1">IFERROR(__xludf.DUMMYFUNCTION("""COMPUTED_VALUE"""),0.923076923076923)</f>
        <v>0.92307692307692302</v>
      </c>
      <c r="AO83" s="83">
        <f ca="1">IFERROR(__xludf.DUMMYFUNCTION("""COMPUTED_VALUE"""),3)</f>
        <v>3</v>
      </c>
      <c r="AP83" s="75" t="str">
        <f ca="1">IFERROR(__xludf.DUMMYFUNCTION("""COMPUTED_VALUE"""),"Station Fail")</f>
        <v>Station Fail</v>
      </c>
      <c r="AQ83" s="82"/>
      <c r="AR83" s="83"/>
      <c r="AS83" s="75"/>
      <c r="AT83" s="82"/>
      <c r="AU83" s="83"/>
      <c r="AV83" s="75"/>
      <c r="AW83" s="82"/>
      <c r="AX83" s="83"/>
      <c r="AY83" s="75"/>
      <c r="AZ83" s="82"/>
      <c r="BA83" s="83"/>
      <c r="BB83" s="75"/>
      <c r="BC83" s="82"/>
      <c r="BD83" s="83"/>
      <c r="BE83" s="75"/>
      <c r="BF83" s="82"/>
      <c r="BG83" s="83"/>
      <c r="BH83" s="75"/>
      <c r="BI83" s="46"/>
    </row>
    <row r="84" spans="1:61" ht="22.5" customHeight="1" x14ac:dyDescent="0.25">
      <c r="A84" s="46"/>
      <c r="B84" s="85"/>
      <c r="C84" s="75"/>
      <c r="D84" s="75"/>
      <c r="E84" s="75"/>
      <c r="F84" s="76"/>
      <c r="G84" s="77">
        <f ca="1">IFERROR(__xludf.DUMMYFUNCTION("""COMPUTED_VALUE"""),0)</f>
        <v>0</v>
      </c>
      <c r="H84" s="78">
        <f ca="1">IFERROR(__xludf.DUMMYFUNCTION("""COMPUTED_VALUE"""),10)</f>
        <v>10</v>
      </c>
      <c r="I84" s="79">
        <f ca="1">IFERROR(__xludf.DUMMYFUNCTION("""COMPUTED_VALUE"""),1)</f>
        <v>1</v>
      </c>
      <c r="J84" s="264"/>
      <c r="K84" s="82">
        <f ca="1">IFERROR(__xludf.DUMMYFUNCTION("""COMPUTED_VALUE"""),20.03)</f>
        <v>20.03</v>
      </c>
      <c r="L84" s="81" t="str">
        <f ca="1">IFERROR(__xludf.DUMMYFUNCTION("""COMPUTED_VALUE"""),"Pass")</f>
        <v>Pass</v>
      </c>
      <c r="M84" s="82">
        <f ca="1">IFERROR(__xludf.DUMMYFUNCTION("""COMPUTED_VALUE"""),2.175)</f>
        <v>2.1749999999999998</v>
      </c>
      <c r="N84" s="83">
        <f ca="1">IFERROR(__xludf.DUMMYFUNCTION("""COMPUTED_VALUE"""),4)</f>
        <v>4</v>
      </c>
      <c r="O84" s="75" t="str">
        <f ca="1">IFERROR(__xludf.DUMMYFUNCTION("""COMPUTED_VALUE"""),"Pass")</f>
        <v>Pass</v>
      </c>
      <c r="P84" s="82">
        <f ca="1">IFERROR(__xludf.DUMMYFUNCTION("""COMPUTED_VALUE"""),2.24516129032258)</f>
        <v>2.2451612903225802</v>
      </c>
      <c r="Q84" s="83">
        <f ca="1">IFERROR(__xludf.DUMMYFUNCTION("""COMPUTED_VALUE"""),4)</f>
        <v>4</v>
      </c>
      <c r="R84" s="75" t="str">
        <f ca="1">IFERROR(__xludf.DUMMYFUNCTION("""COMPUTED_VALUE"""),"Pass")</f>
        <v>Pass</v>
      </c>
      <c r="S84" s="82">
        <f ca="1">IFERROR(__xludf.DUMMYFUNCTION("""COMPUTED_VALUE"""),2.1)</f>
        <v>2.1</v>
      </c>
      <c r="T84" s="83">
        <f ca="1">IFERROR(__xludf.DUMMYFUNCTION("""COMPUTED_VALUE"""),5)</f>
        <v>5</v>
      </c>
      <c r="U84" s="75" t="str">
        <f ca="1">IFERROR(__xludf.DUMMYFUNCTION("""COMPUTED_VALUE"""),"Pass")</f>
        <v>Pass</v>
      </c>
      <c r="V84" s="82">
        <f ca="1">IFERROR(__xludf.DUMMYFUNCTION("""COMPUTED_VALUE"""),2.04)</f>
        <v>2.04</v>
      </c>
      <c r="W84" s="83">
        <f ca="1">IFERROR(__xludf.DUMMYFUNCTION("""COMPUTED_VALUE"""),4)</f>
        <v>4</v>
      </c>
      <c r="X84" s="75" t="str">
        <f ca="1">IFERROR(__xludf.DUMMYFUNCTION("""COMPUTED_VALUE"""),"Pass")</f>
        <v>Pass</v>
      </c>
      <c r="Y84" s="82">
        <f ca="1">IFERROR(__xludf.DUMMYFUNCTION("""COMPUTED_VALUE"""),2.4)</f>
        <v>2.4</v>
      </c>
      <c r="Z84" s="83">
        <f ca="1">IFERROR(__xludf.DUMMYFUNCTION("""COMPUTED_VALUE"""),5)</f>
        <v>5</v>
      </c>
      <c r="AA84" s="75" t="str">
        <f ca="1">IFERROR(__xludf.DUMMYFUNCTION("""COMPUTED_VALUE"""),"Pass")</f>
        <v>Pass</v>
      </c>
      <c r="AB84" s="82">
        <f ca="1">IFERROR(__xludf.DUMMYFUNCTION("""COMPUTED_VALUE"""),2.19999999999999)</f>
        <v>2.19999999999999</v>
      </c>
      <c r="AC84" s="83">
        <f ca="1">IFERROR(__xludf.DUMMYFUNCTION("""COMPUTED_VALUE"""),4)</f>
        <v>4</v>
      </c>
      <c r="AD84" s="75" t="str">
        <f ca="1">IFERROR(__xludf.DUMMYFUNCTION("""COMPUTED_VALUE"""),"Pass")</f>
        <v>Pass</v>
      </c>
      <c r="AE84" s="82">
        <f ca="1">IFERROR(__xludf.DUMMYFUNCTION("""COMPUTED_VALUE"""),1.536)</f>
        <v>1.536</v>
      </c>
      <c r="AF84" s="83">
        <f ca="1">IFERROR(__xludf.DUMMYFUNCTION("""COMPUTED_VALUE"""),4)</f>
        <v>4</v>
      </c>
      <c r="AG84" s="75" t="str">
        <f ca="1">IFERROR(__xludf.DUMMYFUNCTION("""COMPUTED_VALUE"""),"Pass")</f>
        <v>Pass</v>
      </c>
      <c r="AH84" s="82">
        <f ca="1">IFERROR(__xludf.DUMMYFUNCTION("""COMPUTED_VALUE"""),2.12571428571428)</f>
        <v>2.1257142857142801</v>
      </c>
      <c r="AI84" s="83">
        <f ca="1">IFERROR(__xludf.DUMMYFUNCTION("""COMPUTED_VALUE"""),3)</f>
        <v>3</v>
      </c>
      <c r="AJ84" s="75" t="str">
        <f ca="1">IFERROR(__xludf.DUMMYFUNCTION("""COMPUTED_VALUE"""),"Pass")</f>
        <v>Pass</v>
      </c>
      <c r="AK84" s="82">
        <f ca="1">IFERROR(__xludf.DUMMYFUNCTION("""COMPUTED_VALUE"""),2.1)</f>
        <v>2.1</v>
      </c>
      <c r="AL84" s="83">
        <f ca="1">IFERROR(__xludf.DUMMYFUNCTION("""COMPUTED_VALUE"""),3)</f>
        <v>3</v>
      </c>
      <c r="AM84" s="75" t="str">
        <f ca="1">IFERROR(__xludf.DUMMYFUNCTION("""COMPUTED_VALUE"""),"Pass")</f>
        <v>Pass</v>
      </c>
      <c r="AN84" s="82">
        <f ca="1">IFERROR(__xludf.DUMMYFUNCTION("""COMPUTED_VALUE"""),1.1076923076923)</f>
        <v>1.1076923076923</v>
      </c>
      <c r="AO84" s="83">
        <f ca="1">IFERROR(__xludf.DUMMYFUNCTION("""COMPUTED_VALUE"""),2)</f>
        <v>2</v>
      </c>
      <c r="AP84" s="75" t="str">
        <f ca="1">IFERROR(__xludf.DUMMYFUNCTION("""COMPUTED_VALUE"""),"Station Fail")</f>
        <v>Station Fail</v>
      </c>
      <c r="AQ84" s="82"/>
      <c r="AR84" s="83"/>
      <c r="AS84" s="75"/>
      <c r="AT84" s="82"/>
      <c r="AU84" s="83"/>
      <c r="AV84" s="75"/>
      <c r="AW84" s="82"/>
      <c r="AX84" s="83"/>
      <c r="AY84" s="75"/>
      <c r="AZ84" s="82"/>
      <c r="BA84" s="83"/>
      <c r="BB84" s="75"/>
      <c r="BC84" s="82"/>
      <c r="BD84" s="83"/>
      <c r="BE84" s="75"/>
      <c r="BF84" s="82"/>
      <c r="BG84" s="83"/>
      <c r="BH84" s="75"/>
      <c r="BI84" s="46"/>
    </row>
    <row r="85" spans="1:61" ht="22.5" customHeight="1" x14ac:dyDescent="0.25">
      <c r="A85" s="46"/>
      <c r="B85" s="85"/>
      <c r="C85" s="75"/>
      <c r="D85" s="75"/>
      <c r="E85" s="75"/>
      <c r="F85" s="76"/>
      <c r="G85" s="77">
        <f ca="1">IFERROR(__xludf.DUMMYFUNCTION("""COMPUTED_VALUE"""),1)</f>
        <v>1</v>
      </c>
      <c r="H85" s="78">
        <f ca="1">IFERROR(__xludf.DUMMYFUNCTION("""COMPUTED_VALUE"""),9)</f>
        <v>9</v>
      </c>
      <c r="I85" s="79">
        <f ca="1">IFERROR(__xludf.DUMMYFUNCTION("""COMPUTED_VALUE"""),1)</f>
        <v>1</v>
      </c>
      <c r="J85" s="264"/>
      <c r="K85" s="82" t="str">
        <f ca="1">IFERROR(__xludf.DUMMYFUNCTION("""COMPUTED_VALUE"""),"-")</f>
        <v>-</v>
      </c>
      <c r="L85" s="81" t="str">
        <f ca="1">IFERROR(__xludf.DUMMYFUNCTION("""COMPUTED_VALUE"""),"Hold")</f>
        <v>Hold</v>
      </c>
      <c r="M85" s="82">
        <f ca="1">IFERROR(__xludf.DUMMYFUNCTION("""COMPUTED_VALUE"""),1.425)</f>
        <v>1.425</v>
      </c>
      <c r="N85" s="83">
        <f ca="1">IFERROR(__xludf.DUMMYFUNCTION("""COMPUTED_VALUE"""),4)</f>
        <v>4</v>
      </c>
      <c r="O85" s="75" t="str">
        <f ca="1">IFERROR(__xludf.DUMMYFUNCTION("""COMPUTED_VALUE"""),"Station Fail")</f>
        <v>Station Fail</v>
      </c>
      <c r="P85" s="82">
        <f ca="1">IFERROR(__xludf.DUMMYFUNCTION("""COMPUTED_VALUE"""),1.6258064516129)</f>
        <v>1.6258064516129</v>
      </c>
      <c r="Q85" s="83">
        <f ca="1">IFERROR(__xludf.DUMMYFUNCTION("""COMPUTED_VALUE"""),3)</f>
        <v>3</v>
      </c>
      <c r="R85" s="75" t="str">
        <f ca="1">IFERROR(__xludf.DUMMYFUNCTION("""COMPUTED_VALUE"""),"Pass")</f>
        <v>Pass</v>
      </c>
      <c r="S85" s="82">
        <f ca="1">IFERROR(__xludf.DUMMYFUNCTION("""COMPUTED_VALUE"""),1.7)</f>
        <v>1.7</v>
      </c>
      <c r="T85" s="83">
        <f ca="1">IFERROR(__xludf.DUMMYFUNCTION("""COMPUTED_VALUE"""),4)</f>
        <v>4</v>
      </c>
      <c r="U85" s="75" t="str">
        <f ca="1">IFERROR(__xludf.DUMMYFUNCTION("""COMPUTED_VALUE"""),"Pass")</f>
        <v>Pass</v>
      </c>
      <c r="V85" s="82">
        <f ca="1">IFERROR(__xludf.DUMMYFUNCTION("""COMPUTED_VALUE"""),1.44)</f>
        <v>1.44</v>
      </c>
      <c r="W85" s="83">
        <f ca="1">IFERROR(__xludf.DUMMYFUNCTION("""COMPUTED_VALUE"""),3)</f>
        <v>3</v>
      </c>
      <c r="X85" s="75" t="str">
        <f ca="1">IFERROR(__xludf.DUMMYFUNCTION("""COMPUTED_VALUE"""),"Pass")</f>
        <v>Pass</v>
      </c>
      <c r="Y85" s="82">
        <f ca="1">IFERROR(__xludf.DUMMYFUNCTION("""COMPUTED_VALUE"""),2.16)</f>
        <v>2.16</v>
      </c>
      <c r="Z85" s="83">
        <f ca="1">IFERROR(__xludf.DUMMYFUNCTION("""COMPUTED_VALUE"""),5)</f>
        <v>5</v>
      </c>
      <c r="AA85" s="75" t="str">
        <f ca="1">IFERROR(__xludf.DUMMYFUNCTION("""COMPUTED_VALUE"""),"Pass")</f>
        <v>Pass</v>
      </c>
      <c r="AB85" s="82">
        <f ca="1">IFERROR(__xludf.DUMMYFUNCTION("""COMPUTED_VALUE"""),1.5)</f>
        <v>1.5</v>
      </c>
      <c r="AC85" s="83">
        <f ca="1">IFERROR(__xludf.DUMMYFUNCTION("""COMPUTED_VALUE"""),3)</f>
        <v>3</v>
      </c>
      <c r="AD85" s="75" t="str">
        <f ca="1">IFERROR(__xludf.DUMMYFUNCTION("""COMPUTED_VALUE"""),"Pass")</f>
        <v>Pass</v>
      </c>
      <c r="AE85" s="82">
        <f ca="1">IFERROR(__xludf.DUMMYFUNCTION("""COMPUTED_VALUE"""),2.112)</f>
        <v>2.1120000000000001</v>
      </c>
      <c r="AF85" s="83">
        <f ca="1">IFERROR(__xludf.DUMMYFUNCTION("""COMPUTED_VALUE"""),4)</f>
        <v>4</v>
      </c>
      <c r="AG85" s="75" t="str">
        <f ca="1">IFERROR(__xludf.DUMMYFUNCTION("""COMPUTED_VALUE"""),"Pass")</f>
        <v>Pass</v>
      </c>
      <c r="AH85" s="82">
        <f ca="1">IFERROR(__xludf.DUMMYFUNCTION("""COMPUTED_VALUE"""),1.85142857142857)</f>
        <v>1.8514285714285701</v>
      </c>
      <c r="AI85" s="83">
        <f ca="1">IFERROR(__xludf.DUMMYFUNCTION("""COMPUTED_VALUE"""),3)</f>
        <v>3</v>
      </c>
      <c r="AJ85" s="75" t="str">
        <f ca="1">IFERROR(__xludf.DUMMYFUNCTION("""COMPUTED_VALUE"""),"Pass")</f>
        <v>Pass</v>
      </c>
      <c r="AK85" s="82">
        <f ca="1">IFERROR(__xludf.DUMMYFUNCTION("""COMPUTED_VALUE"""),1.95)</f>
        <v>1.95</v>
      </c>
      <c r="AL85" s="83">
        <f ca="1">IFERROR(__xludf.DUMMYFUNCTION("""COMPUTED_VALUE"""),3)</f>
        <v>3</v>
      </c>
      <c r="AM85" s="75" t="str">
        <f ca="1">IFERROR(__xludf.DUMMYFUNCTION("""COMPUTED_VALUE"""),"Pass")</f>
        <v>Pass</v>
      </c>
      <c r="AN85" s="82"/>
      <c r="AO85" s="83"/>
      <c r="AP85" s="75" t="str">
        <f ca="1">IFERROR(__xludf.DUMMYFUNCTION("""COMPUTED_VALUE"""),"Not Taken")</f>
        <v>Not Taken</v>
      </c>
      <c r="AQ85" s="82"/>
      <c r="AR85" s="83"/>
      <c r="AS85" s="75"/>
      <c r="AT85" s="82"/>
      <c r="AU85" s="83"/>
      <c r="AV85" s="75"/>
      <c r="AW85" s="82"/>
      <c r="AX85" s="83"/>
      <c r="AY85" s="75"/>
      <c r="AZ85" s="82"/>
      <c r="BA85" s="83"/>
      <c r="BB85" s="75"/>
      <c r="BC85" s="82"/>
      <c r="BD85" s="83"/>
      <c r="BE85" s="75"/>
      <c r="BF85" s="82"/>
      <c r="BG85" s="83"/>
      <c r="BH85" s="75"/>
      <c r="BI85" s="46"/>
    </row>
    <row r="86" spans="1:61" ht="22.5" customHeight="1" x14ac:dyDescent="0.25">
      <c r="A86" s="46"/>
      <c r="B86" s="85"/>
      <c r="C86" s="75"/>
      <c r="D86" s="75"/>
      <c r="E86" s="75"/>
      <c r="F86" s="76"/>
      <c r="G86" s="77">
        <f ca="1">IFERROR(__xludf.DUMMYFUNCTION("""COMPUTED_VALUE"""),0)</f>
        <v>0</v>
      </c>
      <c r="H86" s="78">
        <f ca="1">IFERROR(__xludf.DUMMYFUNCTION("""COMPUTED_VALUE"""),10)</f>
        <v>10</v>
      </c>
      <c r="I86" s="79">
        <f ca="1">IFERROR(__xludf.DUMMYFUNCTION("""COMPUTED_VALUE"""),1)</f>
        <v>1</v>
      </c>
      <c r="J86" s="264"/>
      <c r="K86" s="82">
        <f ca="1">IFERROR(__xludf.DUMMYFUNCTION("""COMPUTED_VALUE"""),17.2)</f>
        <v>17.2</v>
      </c>
      <c r="L86" s="81" t="str">
        <f ca="1">IFERROR(__xludf.DUMMYFUNCTION("""COMPUTED_VALUE"""),"Pass")</f>
        <v>Pass</v>
      </c>
      <c r="M86" s="82">
        <f ca="1">IFERROR(__xludf.DUMMYFUNCTION("""COMPUTED_VALUE"""),1.65)</f>
        <v>1.65</v>
      </c>
      <c r="N86" s="83">
        <f ca="1">IFERROR(__xludf.DUMMYFUNCTION("""COMPUTED_VALUE"""),4)</f>
        <v>4</v>
      </c>
      <c r="O86" s="75" t="str">
        <f ca="1">IFERROR(__xludf.DUMMYFUNCTION("""COMPUTED_VALUE"""),"Pass")</f>
        <v>Pass</v>
      </c>
      <c r="P86" s="82">
        <f ca="1">IFERROR(__xludf.DUMMYFUNCTION("""COMPUTED_VALUE"""),2.01290322580645)</f>
        <v>2.0129032258064501</v>
      </c>
      <c r="Q86" s="83">
        <f ca="1">IFERROR(__xludf.DUMMYFUNCTION("""COMPUTED_VALUE"""),4)</f>
        <v>4</v>
      </c>
      <c r="R86" s="75" t="str">
        <f ca="1">IFERROR(__xludf.DUMMYFUNCTION("""COMPUTED_VALUE"""),"Pass")</f>
        <v>Pass</v>
      </c>
      <c r="S86" s="82">
        <f ca="1">IFERROR(__xludf.DUMMYFUNCTION("""COMPUTED_VALUE"""),1.7)</f>
        <v>1.7</v>
      </c>
      <c r="T86" s="83">
        <f ca="1">IFERROR(__xludf.DUMMYFUNCTION("""COMPUTED_VALUE"""),3)</f>
        <v>3</v>
      </c>
      <c r="U86" s="75" t="str">
        <f ca="1">IFERROR(__xludf.DUMMYFUNCTION("""COMPUTED_VALUE"""),"Pass")</f>
        <v>Pass</v>
      </c>
      <c r="V86" s="82">
        <f ca="1">IFERROR(__xludf.DUMMYFUNCTION("""COMPUTED_VALUE"""),1.56)</f>
        <v>1.56</v>
      </c>
      <c r="W86" s="83">
        <f ca="1">IFERROR(__xludf.DUMMYFUNCTION("""COMPUTED_VALUE"""),4)</f>
        <v>4</v>
      </c>
      <c r="X86" s="75" t="str">
        <f ca="1">IFERROR(__xludf.DUMMYFUNCTION("""COMPUTED_VALUE"""),"Pass")</f>
        <v>Pass</v>
      </c>
      <c r="Y86" s="82">
        <f ca="1">IFERROR(__xludf.DUMMYFUNCTION("""COMPUTED_VALUE"""),2.4)</f>
        <v>2.4</v>
      </c>
      <c r="Z86" s="83">
        <f ca="1">IFERROR(__xludf.DUMMYFUNCTION("""COMPUTED_VALUE"""),5)</f>
        <v>5</v>
      </c>
      <c r="AA86" s="75" t="str">
        <f ca="1">IFERROR(__xludf.DUMMYFUNCTION("""COMPUTED_VALUE"""),"Pass")</f>
        <v>Pass</v>
      </c>
      <c r="AB86" s="82">
        <f ca="1">IFERROR(__xludf.DUMMYFUNCTION("""COMPUTED_VALUE"""),1.7)</f>
        <v>1.7</v>
      </c>
      <c r="AC86" s="83">
        <f ca="1">IFERROR(__xludf.DUMMYFUNCTION("""COMPUTED_VALUE"""),4)</f>
        <v>4</v>
      </c>
      <c r="AD86" s="75" t="str">
        <f ca="1">IFERROR(__xludf.DUMMYFUNCTION("""COMPUTED_VALUE"""),"Pass")</f>
        <v>Pass</v>
      </c>
      <c r="AE86" s="82">
        <f ca="1">IFERROR(__xludf.DUMMYFUNCTION("""COMPUTED_VALUE"""),1.82399999999999)</f>
        <v>1.8239999999999901</v>
      </c>
      <c r="AF86" s="83">
        <f ca="1">IFERROR(__xludf.DUMMYFUNCTION("""COMPUTED_VALUE"""),4)</f>
        <v>4</v>
      </c>
      <c r="AG86" s="75" t="str">
        <f ca="1">IFERROR(__xludf.DUMMYFUNCTION("""COMPUTED_VALUE"""),"Pass")</f>
        <v>Pass</v>
      </c>
      <c r="AH86" s="82">
        <f ca="1">IFERROR(__xludf.DUMMYFUNCTION("""COMPUTED_VALUE"""),1.85142857142857)</f>
        <v>1.8514285714285701</v>
      </c>
      <c r="AI86" s="83">
        <f ca="1">IFERROR(__xludf.DUMMYFUNCTION("""COMPUTED_VALUE"""),3)</f>
        <v>3</v>
      </c>
      <c r="AJ86" s="75" t="str">
        <f ca="1">IFERROR(__xludf.DUMMYFUNCTION("""COMPUTED_VALUE"""),"Pass")</f>
        <v>Pass</v>
      </c>
      <c r="AK86" s="82">
        <f ca="1">IFERROR(__xludf.DUMMYFUNCTION("""COMPUTED_VALUE"""),1.95)</f>
        <v>1.95</v>
      </c>
      <c r="AL86" s="83">
        <f ca="1">IFERROR(__xludf.DUMMYFUNCTION("""COMPUTED_VALUE"""),3)</f>
        <v>3</v>
      </c>
      <c r="AM86" s="75" t="str">
        <f ca="1">IFERROR(__xludf.DUMMYFUNCTION("""COMPUTED_VALUE"""),"Pass")</f>
        <v>Pass</v>
      </c>
      <c r="AN86" s="82">
        <f ca="1">IFERROR(__xludf.DUMMYFUNCTION("""COMPUTED_VALUE"""),0.553846153846153)</f>
        <v>0.55384615384615299</v>
      </c>
      <c r="AO86" s="83">
        <f ca="1">IFERROR(__xludf.DUMMYFUNCTION("""COMPUTED_VALUE"""),2)</f>
        <v>2</v>
      </c>
      <c r="AP86" s="75" t="str">
        <f ca="1">IFERROR(__xludf.DUMMYFUNCTION("""COMPUTED_VALUE"""),"Station Fail")</f>
        <v>Station Fail</v>
      </c>
      <c r="AQ86" s="82"/>
      <c r="AR86" s="83"/>
      <c r="AS86" s="75"/>
      <c r="AT86" s="82"/>
      <c r="AU86" s="83"/>
      <c r="AV86" s="75"/>
      <c r="AW86" s="82"/>
      <c r="AX86" s="83"/>
      <c r="AY86" s="75"/>
      <c r="AZ86" s="82"/>
      <c r="BA86" s="83"/>
      <c r="BB86" s="75"/>
      <c r="BC86" s="82"/>
      <c r="BD86" s="83"/>
      <c r="BE86" s="75"/>
      <c r="BF86" s="82"/>
      <c r="BG86" s="83"/>
      <c r="BH86" s="75"/>
      <c r="BI86" s="46"/>
    </row>
    <row r="87" spans="1:61" ht="22.5" customHeight="1" x14ac:dyDescent="0.25">
      <c r="A87" s="46"/>
      <c r="B87" s="85"/>
      <c r="C87" s="75"/>
      <c r="D87" s="75"/>
      <c r="E87" s="75"/>
      <c r="F87" s="76"/>
      <c r="G87" s="77">
        <f ca="1">IFERROR(__xludf.DUMMYFUNCTION("""COMPUTED_VALUE"""),0)</f>
        <v>0</v>
      </c>
      <c r="H87" s="78">
        <f ca="1">IFERROR(__xludf.DUMMYFUNCTION("""COMPUTED_VALUE"""),10)</f>
        <v>10</v>
      </c>
      <c r="I87" s="79">
        <f ca="1">IFERROR(__xludf.DUMMYFUNCTION("""COMPUTED_VALUE"""),5)</f>
        <v>5</v>
      </c>
      <c r="J87" s="264"/>
      <c r="K87" s="82">
        <f ca="1">IFERROR(__xludf.DUMMYFUNCTION("""COMPUTED_VALUE"""),12.35)</f>
        <v>12.35</v>
      </c>
      <c r="L87" s="81" t="str">
        <f ca="1">IFERROR(__xludf.DUMMYFUNCTION("""COMPUTED_VALUE"""),"Fail")</f>
        <v>Fail</v>
      </c>
      <c r="M87" s="82">
        <f ca="1">IFERROR(__xludf.DUMMYFUNCTION("""COMPUTED_VALUE"""),1.5)</f>
        <v>1.5</v>
      </c>
      <c r="N87" s="83">
        <f ca="1">IFERROR(__xludf.DUMMYFUNCTION("""COMPUTED_VALUE"""),4)</f>
        <v>4</v>
      </c>
      <c r="O87" s="75" t="str">
        <f ca="1">IFERROR(__xludf.DUMMYFUNCTION("""COMPUTED_VALUE"""),"Pass")</f>
        <v>Pass</v>
      </c>
      <c r="P87" s="82">
        <f ca="1">IFERROR(__xludf.DUMMYFUNCTION("""COMPUTED_VALUE"""),1.16129032258064)</f>
        <v>1.1612903225806399</v>
      </c>
      <c r="Q87" s="83">
        <f ca="1">IFERROR(__xludf.DUMMYFUNCTION("""COMPUTED_VALUE"""),3)</f>
        <v>3</v>
      </c>
      <c r="R87" s="75" t="str">
        <f ca="1">IFERROR(__xludf.DUMMYFUNCTION("""COMPUTED_VALUE"""),"Station Fail")</f>
        <v>Station Fail</v>
      </c>
      <c r="S87" s="82">
        <f ca="1">IFERROR(__xludf.DUMMYFUNCTION("""COMPUTED_VALUE"""),1.5)</f>
        <v>1.5</v>
      </c>
      <c r="T87" s="83">
        <f ca="1">IFERROR(__xludf.DUMMYFUNCTION("""COMPUTED_VALUE"""),3)</f>
        <v>3</v>
      </c>
      <c r="U87" s="75" t="str">
        <f ca="1">IFERROR(__xludf.DUMMYFUNCTION("""COMPUTED_VALUE"""),"Pass")</f>
        <v>Pass</v>
      </c>
      <c r="V87" s="82">
        <f ca="1">IFERROR(__xludf.DUMMYFUNCTION("""COMPUTED_VALUE"""),0.84)</f>
        <v>0.84</v>
      </c>
      <c r="W87" s="83">
        <f ca="1">IFERROR(__xludf.DUMMYFUNCTION("""COMPUTED_VALUE"""),2)</f>
        <v>2</v>
      </c>
      <c r="X87" s="75" t="str">
        <f ca="1">IFERROR(__xludf.DUMMYFUNCTION("""COMPUTED_VALUE"""),"Station Fail")</f>
        <v>Station Fail</v>
      </c>
      <c r="Y87" s="82">
        <f ca="1">IFERROR(__xludf.DUMMYFUNCTION("""COMPUTED_VALUE"""),1.44)</f>
        <v>1.44</v>
      </c>
      <c r="Z87" s="83">
        <f ca="1">IFERROR(__xludf.DUMMYFUNCTION("""COMPUTED_VALUE"""),2)</f>
        <v>2</v>
      </c>
      <c r="AA87" s="75" t="str">
        <f ca="1">IFERROR(__xludf.DUMMYFUNCTION("""COMPUTED_VALUE"""),"Pass")</f>
        <v>Pass</v>
      </c>
      <c r="AB87" s="82">
        <f ca="1">IFERROR(__xludf.DUMMYFUNCTION("""COMPUTED_VALUE"""),0.799999999999999)</f>
        <v>0.79999999999999905</v>
      </c>
      <c r="AC87" s="83">
        <f ca="1">IFERROR(__xludf.DUMMYFUNCTION("""COMPUTED_VALUE"""),2)</f>
        <v>2</v>
      </c>
      <c r="AD87" s="75" t="str">
        <f ca="1">IFERROR(__xludf.DUMMYFUNCTION("""COMPUTED_VALUE"""),"Station Fail")</f>
        <v>Station Fail</v>
      </c>
      <c r="AE87" s="82">
        <f ca="1">IFERROR(__xludf.DUMMYFUNCTION("""COMPUTED_VALUE"""),2.016)</f>
        <v>2.016</v>
      </c>
      <c r="AF87" s="83">
        <f ca="1">IFERROR(__xludf.DUMMYFUNCTION("""COMPUTED_VALUE"""),4)</f>
        <v>4</v>
      </c>
      <c r="AG87" s="75" t="str">
        <f ca="1">IFERROR(__xludf.DUMMYFUNCTION("""COMPUTED_VALUE"""),"Pass")</f>
        <v>Pass</v>
      </c>
      <c r="AH87" s="82">
        <f ca="1">IFERROR(__xludf.DUMMYFUNCTION("""COMPUTED_VALUE"""),1.78285714285714)</f>
        <v>1.78285714285714</v>
      </c>
      <c r="AI87" s="83">
        <f ca="1">IFERROR(__xludf.DUMMYFUNCTION("""COMPUTED_VALUE"""),3)</f>
        <v>3</v>
      </c>
      <c r="AJ87" s="75" t="str">
        <f ca="1">IFERROR(__xludf.DUMMYFUNCTION("""COMPUTED_VALUE"""),"Pass")</f>
        <v>Pass</v>
      </c>
      <c r="AK87" s="82">
        <f ca="1">IFERROR(__xludf.DUMMYFUNCTION("""COMPUTED_VALUE"""),1.125)</f>
        <v>1.125</v>
      </c>
      <c r="AL87" s="83">
        <f ca="1">IFERROR(__xludf.DUMMYFUNCTION("""COMPUTED_VALUE"""),2)</f>
        <v>2</v>
      </c>
      <c r="AM87" s="75" t="str">
        <f ca="1">IFERROR(__xludf.DUMMYFUNCTION("""COMPUTED_VALUE"""),"Station Fail")</f>
        <v>Station Fail</v>
      </c>
      <c r="AN87" s="82">
        <f ca="1">IFERROR(__xludf.DUMMYFUNCTION("""COMPUTED_VALUE"""),0.184615384615384)</f>
        <v>0.18461538461538399</v>
      </c>
      <c r="AO87" s="83">
        <f ca="1">IFERROR(__xludf.DUMMYFUNCTION("""COMPUTED_VALUE"""),1)</f>
        <v>1</v>
      </c>
      <c r="AP87" s="75" t="str">
        <f ca="1">IFERROR(__xludf.DUMMYFUNCTION("""COMPUTED_VALUE"""),"Station Fail")</f>
        <v>Station Fail</v>
      </c>
      <c r="AQ87" s="82"/>
      <c r="AR87" s="83"/>
      <c r="AS87" s="75"/>
      <c r="AT87" s="82"/>
      <c r="AU87" s="83"/>
      <c r="AV87" s="75"/>
      <c r="AW87" s="82"/>
      <c r="AX87" s="83"/>
      <c r="AY87" s="75"/>
      <c r="AZ87" s="82"/>
      <c r="BA87" s="83"/>
      <c r="BB87" s="75"/>
      <c r="BC87" s="82"/>
      <c r="BD87" s="83"/>
      <c r="BE87" s="75"/>
      <c r="BF87" s="82"/>
      <c r="BG87" s="83"/>
      <c r="BH87" s="75"/>
      <c r="BI87" s="46"/>
    </row>
    <row r="88" spans="1:61" ht="22.5" customHeight="1" x14ac:dyDescent="0.25">
      <c r="A88" s="46"/>
      <c r="B88" s="85"/>
      <c r="C88" s="75"/>
      <c r="D88" s="75"/>
      <c r="E88" s="75"/>
      <c r="F88" s="76"/>
      <c r="G88" s="77">
        <f ca="1">IFERROR(__xludf.DUMMYFUNCTION("""COMPUTED_VALUE"""),0)</f>
        <v>0</v>
      </c>
      <c r="H88" s="78">
        <f ca="1">IFERROR(__xludf.DUMMYFUNCTION("""COMPUTED_VALUE"""),10)</f>
        <v>10</v>
      </c>
      <c r="I88" s="79">
        <f ca="1">IFERROR(__xludf.DUMMYFUNCTION("""COMPUTED_VALUE"""),2)</f>
        <v>2</v>
      </c>
      <c r="J88" s="264"/>
      <c r="K88" s="82">
        <f ca="1">IFERROR(__xludf.DUMMYFUNCTION("""COMPUTED_VALUE"""),16.96)</f>
        <v>16.96</v>
      </c>
      <c r="L88" s="81" t="str">
        <f ca="1">IFERROR(__xludf.DUMMYFUNCTION("""COMPUTED_VALUE"""),"Pass")</f>
        <v>Pass</v>
      </c>
      <c r="M88" s="82">
        <f ca="1">IFERROR(__xludf.DUMMYFUNCTION("""COMPUTED_VALUE"""),1.34999999999999)</f>
        <v>1.3499999999999901</v>
      </c>
      <c r="N88" s="83">
        <f ca="1">IFERROR(__xludf.DUMMYFUNCTION("""COMPUTED_VALUE"""),3)</f>
        <v>3</v>
      </c>
      <c r="O88" s="75" t="str">
        <f ca="1">IFERROR(__xludf.DUMMYFUNCTION("""COMPUTED_VALUE"""),"Station Fail")</f>
        <v>Station Fail</v>
      </c>
      <c r="P88" s="82">
        <f ca="1">IFERROR(__xludf.DUMMYFUNCTION("""COMPUTED_VALUE"""),1.78064516129032)</f>
        <v>1.78064516129032</v>
      </c>
      <c r="Q88" s="83">
        <f ca="1">IFERROR(__xludf.DUMMYFUNCTION("""COMPUTED_VALUE"""),3)</f>
        <v>3</v>
      </c>
      <c r="R88" s="75" t="str">
        <f ca="1">IFERROR(__xludf.DUMMYFUNCTION("""COMPUTED_VALUE"""),"Pass")</f>
        <v>Pass</v>
      </c>
      <c r="S88" s="82">
        <f ca="1">IFERROR(__xludf.DUMMYFUNCTION("""COMPUTED_VALUE"""),1.59999999999999)</f>
        <v>1.5999999999999901</v>
      </c>
      <c r="T88" s="83">
        <f ca="1">IFERROR(__xludf.DUMMYFUNCTION("""COMPUTED_VALUE"""),3)</f>
        <v>3</v>
      </c>
      <c r="U88" s="75" t="str">
        <f ca="1">IFERROR(__xludf.DUMMYFUNCTION("""COMPUTED_VALUE"""),"Pass")</f>
        <v>Pass</v>
      </c>
      <c r="V88" s="82">
        <f ca="1">IFERROR(__xludf.DUMMYFUNCTION("""COMPUTED_VALUE"""),1.79999999999999)</f>
        <v>1.7999999999999901</v>
      </c>
      <c r="W88" s="83">
        <f ca="1">IFERROR(__xludf.DUMMYFUNCTION("""COMPUTED_VALUE"""),4)</f>
        <v>4</v>
      </c>
      <c r="X88" s="75" t="str">
        <f ca="1">IFERROR(__xludf.DUMMYFUNCTION("""COMPUTED_VALUE"""),"Pass")</f>
        <v>Pass</v>
      </c>
      <c r="Y88" s="82">
        <f ca="1">IFERROR(__xludf.DUMMYFUNCTION("""COMPUTED_VALUE"""),2.4)</f>
        <v>2.4</v>
      </c>
      <c r="Z88" s="83">
        <f ca="1">IFERROR(__xludf.DUMMYFUNCTION("""COMPUTED_VALUE"""),4)</f>
        <v>4</v>
      </c>
      <c r="AA88" s="75" t="str">
        <f ca="1">IFERROR(__xludf.DUMMYFUNCTION("""COMPUTED_VALUE"""),"Pass")</f>
        <v>Pass</v>
      </c>
      <c r="AB88" s="82">
        <f ca="1">IFERROR(__xludf.DUMMYFUNCTION("""COMPUTED_VALUE"""),1.59999999999999)</f>
        <v>1.5999999999999901</v>
      </c>
      <c r="AC88" s="83">
        <f ca="1">IFERROR(__xludf.DUMMYFUNCTION("""COMPUTED_VALUE"""),3)</f>
        <v>3</v>
      </c>
      <c r="AD88" s="75" t="str">
        <f ca="1">IFERROR(__xludf.DUMMYFUNCTION("""COMPUTED_VALUE"""),"Pass")</f>
        <v>Pass</v>
      </c>
      <c r="AE88" s="82">
        <f ca="1">IFERROR(__xludf.DUMMYFUNCTION("""COMPUTED_VALUE"""),1.92)</f>
        <v>1.92</v>
      </c>
      <c r="AF88" s="83">
        <f ca="1">IFERROR(__xludf.DUMMYFUNCTION("""COMPUTED_VALUE"""),5)</f>
        <v>5</v>
      </c>
      <c r="AG88" s="75" t="str">
        <f ca="1">IFERROR(__xludf.DUMMYFUNCTION("""COMPUTED_VALUE"""),"Pass")</f>
        <v>Pass</v>
      </c>
      <c r="AH88" s="82">
        <f ca="1">IFERROR(__xludf.DUMMYFUNCTION("""COMPUTED_VALUE"""),2.26285714285714)</f>
        <v>2.2628571428571398</v>
      </c>
      <c r="AI88" s="83">
        <f ca="1">IFERROR(__xludf.DUMMYFUNCTION("""COMPUTED_VALUE"""),4)</f>
        <v>4</v>
      </c>
      <c r="AJ88" s="75" t="str">
        <f ca="1">IFERROR(__xludf.DUMMYFUNCTION("""COMPUTED_VALUE"""),"Pass")</f>
        <v>Pass</v>
      </c>
      <c r="AK88" s="82">
        <f ca="1">IFERROR(__xludf.DUMMYFUNCTION("""COMPUTED_VALUE"""),1.875)</f>
        <v>1.875</v>
      </c>
      <c r="AL88" s="83">
        <f ca="1">IFERROR(__xludf.DUMMYFUNCTION("""COMPUTED_VALUE"""),3)</f>
        <v>3</v>
      </c>
      <c r="AM88" s="75" t="str">
        <f ca="1">IFERROR(__xludf.DUMMYFUNCTION("""COMPUTED_VALUE"""),"Pass")</f>
        <v>Pass</v>
      </c>
      <c r="AN88" s="82">
        <f ca="1">IFERROR(__xludf.DUMMYFUNCTION("""COMPUTED_VALUE"""),0.369230769230769)</f>
        <v>0.36923076923076897</v>
      </c>
      <c r="AO88" s="83">
        <f ca="1">IFERROR(__xludf.DUMMYFUNCTION("""COMPUTED_VALUE"""),2)</f>
        <v>2</v>
      </c>
      <c r="AP88" s="75" t="str">
        <f ca="1">IFERROR(__xludf.DUMMYFUNCTION("""COMPUTED_VALUE"""),"Station Fail")</f>
        <v>Station Fail</v>
      </c>
      <c r="AQ88" s="82"/>
      <c r="AR88" s="83"/>
      <c r="AS88" s="75"/>
      <c r="AT88" s="82"/>
      <c r="AU88" s="83"/>
      <c r="AV88" s="75"/>
      <c r="AW88" s="82"/>
      <c r="AX88" s="83"/>
      <c r="AY88" s="75"/>
      <c r="AZ88" s="82"/>
      <c r="BA88" s="83"/>
      <c r="BB88" s="75"/>
      <c r="BC88" s="82"/>
      <c r="BD88" s="83"/>
      <c r="BE88" s="75"/>
      <c r="BF88" s="82"/>
      <c r="BG88" s="83"/>
      <c r="BH88" s="75"/>
      <c r="BI88" s="46"/>
    </row>
    <row r="89" spans="1:61" ht="22.5" customHeight="1" x14ac:dyDescent="0.25">
      <c r="A89" s="46"/>
      <c r="B89" s="85"/>
      <c r="C89" s="75"/>
      <c r="D89" s="75"/>
      <c r="E89" s="75"/>
      <c r="F89" s="76"/>
      <c r="G89" s="77">
        <f ca="1">IFERROR(__xludf.DUMMYFUNCTION("""COMPUTED_VALUE"""),10)</f>
        <v>10</v>
      </c>
      <c r="H89" s="78">
        <f ca="1">IFERROR(__xludf.DUMMYFUNCTION("""COMPUTED_VALUE"""),0)</f>
        <v>0</v>
      </c>
      <c r="I89" s="79">
        <f ca="1">IFERROR(__xludf.DUMMYFUNCTION("""COMPUTED_VALUE"""),0)</f>
        <v>0</v>
      </c>
      <c r="J89" s="264"/>
      <c r="K89" s="82" t="str">
        <f ca="1">IFERROR(__xludf.DUMMYFUNCTION("""COMPUTED_VALUE"""),"-")</f>
        <v>-</v>
      </c>
      <c r="L89" s="81" t="str">
        <f ca="1">IFERROR(__xludf.DUMMYFUNCTION("""COMPUTED_VALUE"""),"Hold")</f>
        <v>Hold</v>
      </c>
      <c r="M89" s="82"/>
      <c r="N89" s="83"/>
      <c r="O89" s="75" t="str">
        <f ca="1">IFERROR(__xludf.DUMMYFUNCTION("""COMPUTED_VALUE"""),"Not Taken")</f>
        <v>Not Taken</v>
      </c>
      <c r="P89" s="82"/>
      <c r="Q89" s="83"/>
      <c r="R89" s="75" t="str">
        <f ca="1">IFERROR(__xludf.DUMMYFUNCTION("""COMPUTED_VALUE"""),"Not Taken")</f>
        <v>Not Taken</v>
      </c>
      <c r="S89" s="82"/>
      <c r="T89" s="83"/>
      <c r="U89" s="75" t="str">
        <f ca="1">IFERROR(__xludf.DUMMYFUNCTION("""COMPUTED_VALUE"""),"Not Taken")</f>
        <v>Not Taken</v>
      </c>
      <c r="V89" s="82"/>
      <c r="W89" s="83"/>
      <c r="X89" s="75" t="str">
        <f ca="1">IFERROR(__xludf.DUMMYFUNCTION("""COMPUTED_VALUE"""),"Not Taken")</f>
        <v>Not Taken</v>
      </c>
      <c r="Y89" s="82"/>
      <c r="Z89" s="83"/>
      <c r="AA89" s="75" t="str">
        <f ca="1">IFERROR(__xludf.DUMMYFUNCTION("""COMPUTED_VALUE"""),"Not Taken")</f>
        <v>Not Taken</v>
      </c>
      <c r="AB89" s="82"/>
      <c r="AC89" s="83"/>
      <c r="AD89" s="75" t="str">
        <f ca="1">IFERROR(__xludf.DUMMYFUNCTION("""COMPUTED_VALUE"""),"Not Taken")</f>
        <v>Not Taken</v>
      </c>
      <c r="AE89" s="82"/>
      <c r="AF89" s="83"/>
      <c r="AG89" s="75" t="str">
        <f ca="1">IFERROR(__xludf.DUMMYFUNCTION("""COMPUTED_VALUE"""),"Not Taken")</f>
        <v>Not Taken</v>
      </c>
      <c r="AH89" s="82"/>
      <c r="AI89" s="83"/>
      <c r="AJ89" s="75" t="str">
        <f ca="1">IFERROR(__xludf.DUMMYFUNCTION("""COMPUTED_VALUE"""),"Not Taken")</f>
        <v>Not Taken</v>
      </c>
      <c r="AK89" s="82"/>
      <c r="AL89" s="83"/>
      <c r="AM89" s="75" t="str">
        <f ca="1">IFERROR(__xludf.DUMMYFUNCTION("""COMPUTED_VALUE"""),"Not Taken")</f>
        <v>Not Taken</v>
      </c>
      <c r="AN89" s="82"/>
      <c r="AO89" s="83"/>
      <c r="AP89" s="75" t="str">
        <f ca="1">IFERROR(__xludf.DUMMYFUNCTION("""COMPUTED_VALUE"""),"Not Taken")</f>
        <v>Not Taken</v>
      </c>
      <c r="AQ89" s="82"/>
      <c r="AR89" s="83"/>
      <c r="AS89" s="75"/>
      <c r="AT89" s="82"/>
      <c r="AU89" s="83"/>
      <c r="AV89" s="75"/>
      <c r="AW89" s="82"/>
      <c r="AX89" s="83"/>
      <c r="AY89" s="75"/>
      <c r="AZ89" s="82"/>
      <c r="BA89" s="83"/>
      <c r="BB89" s="75"/>
      <c r="BC89" s="82"/>
      <c r="BD89" s="83"/>
      <c r="BE89" s="75"/>
      <c r="BF89" s="82"/>
      <c r="BG89" s="83"/>
      <c r="BH89" s="75"/>
      <c r="BI89" s="46"/>
    </row>
    <row r="90" spans="1:61" ht="22.5" customHeight="1" x14ac:dyDescent="0.25">
      <c r="A90" s="46"/>
      <c r="B90" s="85"/>
      <c r="C90" s="75"/>
      <c r="D90" s="75"/>
      <c r="E90" s="75"/>
      <c r="F90" s="76"/>
      <c r="G90" s="77">
        <f ca="1">IFERROR(__xludf.DUMMYFUNCTION("""COMPUTED_VALUE"""),0)</f>
        <v>0</v>
      </c>
      <c r="H90" s="78">
        <f ca="1">IFERROR(__xludf.DUMMYFUNCTION("""COMPUTED_VALUE"""),10)</f>
        <v>10</v>
      </c>
      <c r="I90" s="79">
        <f ca="1">IFERROR(__xludf.DUMMYFUNCTION("""COMPUTED_VALUE"""),1)</f>
        <v>1</v>
      </c>
      <c r="J90" s="264"/>
      <c r="K90" s="82">
        <f ca="1">IFERROR(__xludf.DUMMYFUNCTION("""COMPUTED_VALUE"""),18.33)</f>
        <v>18.329999999999998</v>
      </c>
      <c r="L90" s="81" t="str">
        <f ca="1">IFERROR(__xludf.DUMMYFUNCTION("""COMPUTED_VALUE"""),"Pass")</f>
        <v>Pass</v>
      </c>
      <c r="M90" s="82">
        <f ca="1">IFERROR(__xludf.DUMMYFUNCTION("""COMPUTED_VALUE"""),1.79999999999999)</f>
        <v>1.7999999999999901</v>
      </c>
      <c r="N90" s="83">
        <f ca="1">IFERROR(__xludf.DUMMYFUNCTION("""COMPUTED_VALUE"""),4)</f>
        <v>4</v>
      </c>
      <c r="O90" s="75" t="str">
        <f ca="1">IFERROR(__xludf.DUMMYFUNCTION("""COMPUTED_VALUE"""),"Pass")</f>
        <v>Pass</v>
      </c>
      <c r="P90" s="82">
        <f ca="1">IFERROR(__xludf.DUMMYFUNCTION("""COMPUTED_VALUE"""),1.54838709677419)</f>
        <v>1.54838709677419</v>
      </c>
      <c r="Q90" s="83">
        <f ca="1">IFERROR(__xludf.DUMMYFUNCTION("""COMPUTED_VALUE"""),4)</f>
        <v>4</v>
      </c>
      <c r="R90" s="75" t="str">
        <f ca="1">IFERROR(__xludf.DUMMYFUNCTION("""COMPUTED_VALUE"""),"Pass")</f>
        <v>Pass</v>
      </c>
      <c r="S90" s="82">
        <f ca="1">IFERROR(__xludf.DUMMYFUNCTION("""COMPUTED_VALUE"""),1.9)</f>
        <v>1.9</v>
      </c>
      <c r="T90" s="83">
        <f ca="1">IFERROR(__xludf.DUMMYFUNCTION("""COMPUTED_VALUE"""),4)</f>
        <v>4</v>
      </c>
      <c r="U90" s="75" t="str">
        <f ca="1">IFERROR(__xludf.DUMMYFUNCTION("""COMPUTED_VALUE"""),"Pass")</f>
        <v>Pass</v>
      </c>
      <c r="V90" s="82">
        <f ca="1">IFERROR(__xludf.DUMMYFUNCTION("""COMPUTED_VALUE"""),1.56)</f>
        <v>1.56</v>
      </c>
      <c r="W90" s="83">
        <f ca="1">IFERROR(__xludf.DUMMYFUNCTION("""COMPUTED_VALUE"""),4)</f>
        <v>4</v>
      </c>
      <c r="X90" s="75" t="str">
        <f ca="1">IFERROR(__xludf.DUMMYFUNCTION("""COMPUTED_VALUE"""),"Pass")</f>
        <v>Pass</v>
      </c>
      <c r="Y90" s="82">
        <f ca="1">IFERROR(__xludf.DUMMYFUNCTION("""COMPUTED_VALUE"""),2.4)</f>
        <v>2.4</v>
      </c>
      <c r="Z90" s="83">
        <f ca="1">IFERROR(__xludf.DUMMYFUNCTION("""COMPUTED_VALUE"""),5)</f>
        <v>5</v>
      </c>
      <c r="AA90" s="75" t="str">
        <f ca="1">IFERROR(__xludf.DUMMYFUNCTION("""COMPUTED_VALUE"""),"Pass")</f>
        <v>Pass</v>
      </c>
      <c r="AB90" s="82">
        <f ca="1">IFERROR(__xludf.DUMMYFUNCTION("""COMPUTED_VALUE"""),1.9)</f>
        <v>1.9</v>
      </c>
      <c r="AC90" s="83">
        <f ca="1">IFERROR(__xludf.DUMMYFUNCTION("""COMPUTED_VALUE"""),4)</f>
        <v>4</v>
      </c>
      <c r="AD90" s="75" t="str">
        <f ca="1">IFERROR(__xludf.DUMMYFUNCTION("""COMPUTED_VALUE"""),"Pass")</f>
        <v>Pass</v>
      </c>
      <c r="AE90" s="82">
        <f ca="1">IFERROR(__xludf.DUMMYFUNCTION("""COMPUTED_VALUE"""),1.92)</f>
        <v>1.92</v>
      </c>
      <c r="AF90" s="83">
        <f ca="1">IFERROR(__xludf.DUMMYFUNCTION("""COMPUTED_VALUE"""),5)</f>
        <v>5</v>
      </c>
      <c r="AG90" s="75" t="str">
        <f ca="1">IFERROR(__xludf.DUMMYFUNCTION("""COMPUTED_VALUE"""),"Pass")</f>
        <v>Pass</v>
      </c>
      <c r="AH90" s="82">
        <f ca="1">IFERROR(__xludf.DUMMYFUNCTION("""COMPUTED_VALUE"""),2.05714285714285)</f>
        <v>2.0571428571428498</v>
      </c>
      <c r="AI90" s="83">
        <f ca="1">IFERROR(__xludf.DUMMYFUNCTION("""COMPUTED_VALUE"""),4)</f>
        <v>4</v>
      </c>
      <c r="AJ90" s="75" t="str">
        <f ca="1">IFERROR(__xludf.DUMMYFUNCTION("""COMPUTED_VALUE"""),"Pass")</f>
        <v>Pass</v>
      </c>
      <c r="AK90" s="82">
        <f ca="1">IFERROR(__xludf.DUMMYFUNCTION("""COMPUTED_VALUE"""),2.32499999999999)</f>
        <v>2.32499999999999</v>
      </c>
      <c r="AL90" s="83">
        <f ca="1">IFERROR(__xludf.DUMMYFUNCTION("""COMPUTED_VALUE"""),5)</f>
        <v>5</v>
      </c>
      <c r="AM90" s="75" t="str">
        <f ca="1">IFERROR(__xludf.DUMMYFUNCTION("""COMPUTED_VALUE"""),"Pass")</f>
        <v>Pass</v>
      </c>
      <c r="AN90" s="82">
        <f ca="1">IFERROR(__xludf.DUMMYFUNCTION("""COMPUTED_VALUE"""),0.923076923076923)</f>
        <v>0.92307692307692302</v>
      </c>
      <c r="AO90" s="83">
        <f ca="1">IFERROR(__xludf.DUMMYFUNCTION("""COMPUTED_VALUE"""),2)</f>
        <v>2</v>
      </c>
      <c r="AP90" s="75" t="str">
        <f ca="1">IFERROR(__xludf.DUMMYFUNCTION("""COMPUTED_VALUE"""),"Station Fail")</f>
        <v>Station Fail</v>
      </c>
      <c r="AQ90" s="82"/>
      <c r="AR90" s="83"/>
      <c r="AS90" s="75"/>
      <c r="AT90" s="82"/>
      <c r="AU90" s="83"/>
      <c r="AV90" s="75"/>
      <c r="AW90" s="82"/>
      <c r="AX90" s="83"/>
      <c r="AY90" s="75"/>
      <c r="AZ90" s="82"/>
      <c r="BA90" s="83"/>
      <c r="BB90" s="75"/>
      <c r="BC90" s="82"/>
      <c r="BD90" s="83"/>
      <c r="BE90" s="75"/>
      <c r="BF90" s="82"/>
      <c r="BG90" s="83"/>
      <c r="BH90" s="75"/>
      <c r="BI90" s="46"/>
    </row>
    <row r="91" spans="1:61" ht="22.5" customHeight="1" x14ac:dyDescent="0.25">
      <c r="A91" s="46"/>
      <c r="B91" s="85"/>
      <c r="C91" s="75"/>
      <c r="D91" s="75"/>
      <c r="E91" s="75"/>
      <c r="F91" s="76"/>
      <c r="G91" s="77">
        <f ca="1">IFERROR(__xludf.DUMMYFUNCTION("""COMPUTED_VALUE"""),0)</f>
        <v>0</v>
      </c>
      <c r="H91" s="78">
        <f ca="1">IFERROR(__xludf.DUMMYFUNCTION("""COMPUTED_VALUE"""),10)</f>
        <v>10</v>
      </c>
      <c r="I91" s="79">
        <f ca="1">IFERROR(__xludf.DUMMYFUNCTION("""COMPUTED_VALUE"""),0)</f>
        <v>0</v>
      </c>
      <c r="J91" s="264"/>
      <c r="K91" s="82">
        <f ca="1">IFERROR(__xludf.DUMMYFUNCTION("""COMPUTED_VALUE"""),20.9)</f>
        <v>20.9</v>
      </c>
      <c r="L91" s="81" t="str">
        <f ca="1">IFERROR(__xludf.DUMMYFUNCTION("""COMPUTED_VALUE"""),"Pass")</f>
        <v>Pass</v>
      </c>
      <c r="M91" s="82">
        <f ca="1">IFERROR(__xludf.DUMMYFUNCTION("""COMPUTED_VALUE"""),1.575)</f>
        <v>1.575</v>
      </c>
      <c r="N91" s="83">
        <f ca="1">IFERROR(__xludf.DUMMYFUNCTION("""COMPUTED_VALUE"""),4)</f>
        <v>4</v>
      </c>
      <c r="O91" s="75" t="str">
        <f ca="1">IFERROR(__xludf.DUMMYFUNCTION("""COMPUTED_VALUE"""),"Pass")</f>
        <v>Pass</v>
      </c>
      <c r="P91" s="82">
        <f ca="1">IFERROR(__xludf.DUMMYFUNCTION("""COMPUTED_VALUE"""),2.4)</f>
        <v>2.4</v>
      </c>
      <c r="Q91" s="83">
        <f ca="1">IFERROR(__xludf.DUMMYFUNCTION("""COMPUTED_VALUE"""),5)</f>
        <v>5</v>
      </c>
      <c r="R91" s="75" t="str">
        <f ca="1">IFERROR(__xludf.DUMMYFUNCTION("""COMPUTED_VALUE"""),"Pass")</f>
        <v>Pass</v>
      </c>
      <c r="S91" s="82">
        <f ca="1">IFERROR(__xludf.DUMMYFUNCTION("""COMPUTED_VALUE"""),2.1)</f>
        <v>2.1</v>
      </c>
      <c r="T91" s="83">
        <f ca="1">IFERROR(__xludf.DUMMYFUNCTION("""COMPUTED_VALUE"""),5)</f>
        <v>5</v>
      </c>
      <c r="U91" s="75" t="str">
        <f ca="1">IFERROR(__xludf.DUMMYFUNCTION("""COMPUTED_VALUE"""),"Pass")</f>
        <v>Pass</v>
      </c>
      <c r="V91" s="82">
        <f ca="1">IFERROR(__xludf.DUMMYFUNCTION("""COMPUTED_VALUE"""),2.4)</f>
        <v>2.4</v>
      </c>
      <c r="W91" s="83">
        <f ca="1">IFERROR(__xludf.DUMMYFUNCTION("""COMPUTED_VALUE"""),5)</f>
        <v>5</v>
      </c>
      <c r="X91" s="75" t="str">
        <f ca="1">IFERROR(__xludf.DUMMYFUNCTION("""COMPUTED_VALUE"""),"Pass")</f>
        <v>Pass</v>
      </c>
      <c r="Y91" s="82">
        <f ca="1">IFERROR(__xludf.DUMMYFUNCTION("""COMPUTED_VALUE"""),2.4)</f>
        <v>2.4</v>
      </c>
      <c r="Z91" s="83">
        <f ca="1">IFERROR(__xludf.DUMMYFUNCTION("""COMPUTED_VALUE"""),5)</f>
        <v>5</v>
      </c>
      <c r="AA91" s="75" t="str">
        <f ca="1">IFERROR(__xludf.DUMMYFUNCTION("""COMPUTED_VALUE"""),"Pass")</f>
        <v>Pass</v>
      </c>
      <c r="AB91" s="82">
        <f ca="1">IFERROR(__xludf.DUMMYFUNCTION("""COMPUTED_VALUE"""),2)</f>
        <v>2</v>
      </c>
      <c r="AC91" s="83">
        <f ca="1">IFERROR(__xludf.DUMMYFUNCTION("""COMPUTED_VALUE"""),4)</f>
        <v>4</v>
      </c>
      <c r="AD91" s="75" t="str">
        <f ca="1">IFERROR(__xludf.DUMMYFUNCTION("""COMPUTED_VALUE"""),"Pass")</f>
        <v>Pass</v>
      </c>
      <c r="AE91" s="82">
        <f ca="1">IFERROR(__xludf.DUMMYFUNCTION("""COMPUTED_VALUE"""),2.208)</f>
        <v>2.2080000000000002</v>
      </c>
      <c r="AF91" s="83">
        <f ca="1">IFERROR(__xludf.DUMMYFUNCTION("""COMPUTED_VALUE"""),5)</f>
        <v>5</v>
      </c>
      <c r="AG91" s="75" t="str">
        <f ca="1">IFERROR(__xludf.DUMMYFUNCTION("""COMPUTED_VALUE"""),"Pass")</f>
        <v>Pass</v>
      </c>
      <c r="AH91" s="82">
        <f ca="1">IFERROR(__xludf.DUMMYFUNCTION("""COMPUTED_VALUE"""),2.12571428571428)</f>
        <v>2.1257142857142801</v>
      </c>
      <c r="AI91" s="83">
        <f ca="1">IFERROR(__xludf.DUMMYFUNCTION("""COMPUTED_VALUE"""),4)</f>
        <v>4</v>
      </c>
      <c r="AJ91" s="75" t="str">
        <f ca="1">IFERROR(__xludf.DUMMYFUNCTION("""COMPUTED_VALUE"""),"Pass")</f>
        <v>Pass</v>
      </c>
      <c r="AK91" s="82">
        <f ca="1">IFERROR(__xludf.DUMMYFUNCTION("""COMPUTED_VALUE"""),2.025)</f>
        <v>2.0249999999999999</v>
      </c>
      <c r="AL91" s="83">
        <f ca="1">IFERROR(__xludf.DUMMYFUNCTION("""COMPUTED_VALUE"""),4)</f>
        <v>4</v>
      </c>
      <c r="AM91" s="75" t="str">
        <f ca="1">IFERROR(__xludf.DUMMYFUNCTION("""COMPUTED_VALUE"""),"Pass")</f>
        <v>Pass</v>
      </c>
      <c r="AN91" s="82">
        <f ca="1">IFERROR(__xludf.DUMMYFUNCTION("""COMPUTED_VALUE"""),1.66153846153846)</f>
        <v>1.6615384615384601</v>
      </c>
      <c r="AO91" s="83">
        <f ca="1">IFERROR(__xludf.DUMMYFUNCTION("""COMPUTED_VALUE"""),3)</f>
        <v>3</v>
      </c>
      <c r="AP91" s="75" t="str">
        <f ca="1">IFERROR(__xludf.DUMMYFUNCTION("""COMPUTED_VALUE"""),"Pass")</f>
        <v>Pass</v>
      </c>
      <c r="AQ91" s="82"/>
      <c r="AR91" s="83"/>
      <c r="AS91" s="75"/>
      <c r="AT91" s="82"/>
      <c r="AU91" s="83"/>
      <c r="AV91" s="75"/>
      <c r="AW91" s="82"/>
      <c r="AX91" s="83"/>
      <c r="AY91" s="75"/>
      <c r="AZ91" s="82"/>
      <c r="BA91" s="83"/>
      <c r="BB91" s="75"/>
      <c r="BC91" s="82"/>
      <c r="BD91" s="83"/>
      <c r="BE91" s="75"/>
      <c r="BF91" s="82"/>
      <c r="BG91" s="83"/>
      <c r="BH91" s="75"/>
      <c r="BI91" s="46"/>
    </row>
    <row r="92" spans="1:61" ht="22.5" customHeight="1" x14ac:dyDescent="0.25">
      <c r="A92" s="46"/>
      <c r="B92" s="85"/>
      <c r="C92" s="75"/>
      <c r="D92" s="75"/>
      <c r="E92" s="75"/>
      <c r="F92" s="76"/>
      <c r="G92" s="77">
        <f ca="1">IFERROR(__xludf.DUMMYFUNCTION("""COMPUTED_VALUE"""),0)</f>
        <v>0</v>
      </c>
      <c r="H92" s="78">
        <f ca="1">IFERROR(__xludf.DUMMYFUNCTION("""COMPUTED_VALUE"""),10)</f>
        <v>10</v>
      </c>
      <c r="I92" s="79">
        <f ca="1">IFERROR(__xludf.DUMMYFUNCTION("""COMPUTED_VALUE"""),2)</f>
        <v>2</v>
      </c>
      <c r="J92" s="264"/>
      <c r="K92" s="82">
        <f ca="1">IFERROR(__xludf.DUMMYFUNCTION("""COMPUTED_VALUE"""),17.31)</f>
        <v>17.309999999999999</v>
      </c>
      <c r="L92" s="81" t="str">
        <f ca="1">IFERROR(__xludf.DUMMYFUNCTION("""COMPUTED_VALUE"""),"Pass")</f>
        <v>Pass</v>
      </c>
      <c r="M92" s="82">
        <f ca="1">IFERROR(__xludf.DUMMYFUNCTION("""COMPUTED_VALUE"""),1.95)</f>
        <v>1.95</v>
      </c>
      <c r="N92" s="83">
        <f ca="1">IFERROR(__xludf.DUMMYFUNCTION("""COMPUTED_VALUE"""),4)</f>
        <v>4</v>
      </c>
      <c r="O92" s="75" t="str">
        <f ca="1">IFERROR(__xludf.DUMMYFUNCTION("""COMPUTED_VALUE"""),"Pass")</f>
        <v>Pass</v>
      </c>
      <c r="P92" s="82">
        <f ca="1">IFERROR(__xludf.DUMMYFUNCTION("""COMPUTED_VALUE"""),2.16774193548387)</f>
        <v>2.1677419354838698</v>
      </c>
      <c r="Q92" s="83">
        <f ca="1">IFERROR(__xludf.DUMMYFUNCTION("""COMPUTED_VALUE"""),4)</f>
        <v>4</v>
      </c>
      <c r="R92" s="75" t="str">
        <f ca="1">IFERROR(__xludf.DUMMYFUNCTION("""COMPUTED_VALUE"""),"Pass")</f>
        <v>Pass</v>
      </c>
      <c r="S92" s="82">
        <f ca="1">IFERROR(__xludf.DUMMYFUNCTION("""COMPUTED_VALUE"""),1.7)</f>
        <v>1.7</v>
      </c>
      <c r="T92" s="83">
        <f ca="1">IFERROR(__xludf.DUMMYFUNCTION("""COMPUTED_VALUE"""),3)</f>
        <v>3</v>
      </c>
      <c r="U92" s="75" t="str">
        <f ca="1">IFERROR(__xludf.DUMMYFUNCTION("""COMPUTED_VALUE"""),"Pass")</f>
        <v>Pass</v>
      </c>
      <c r="V92" s="82">
        <f ca="1">IFERROR(__xludf.DUMMYFUNCTION("""COMPUTED_VALUE"""),1.79999999999999)</f>
        <v>1.7999999999999901</v>
      </c>
      <c r="W92" s="83">
        <f ca="1">IFERROR(__xludf.DUMMYFUNCTION("""COMPUTED_VALUE"""),4)</f>
        <v>4</v>
      </c>
      <c r="X92" s="75" t="str">
        <f ca="1">IFERROR(__xludf.DUMMYFUNCTION("""COMPUTED_VALUE"""),"Pass")</f>
        <v>Pass</v>
      </c>
      <c r="Y92" s="82">
        <f ca="1">IFERROR(__xludf.DUMMYFUNCTION("""COMPUTED_VALUE"""),2.04)</f>
        <v>2.04</v>
      </c>
      <c r="Z92" s="83">
        <f ca="1">IFERROR(__xludf.DUMMYFUNCTION("""COMPUTED_VALUE"""),4)</f>
        <v>4</v>
      </c>
      <c r="AA92" s="75" t="str">
        <f ca="1">IFERROR(__xludf.DUMMYFUNCTION("""COMPUTED_VALUE"""),"Pass")</f>
        <v>Pass</v>
      </c>
      <c r="AB92" s="82">
        <f ca="1">IFERROR(__xludf.DUMMYFUNCTION("""COMPUTED_VALUE"""),1.4)</f>
        <v>1.4</v>
      </c>
      <c r="AC92" s="83">
        <f ca="1">IFERROR(__xludf.DUMMYFUNCTION("""COMPUTED_VALUE"""),3)</f>
        <v>3</v>
      </c>
      <c r="AD92" s="75" t="str">
        <f ca="1">IFERROR(__xludf.DUMMYFUNCTION("""COMPUTED_VALUE"""),"Station Fail")</f>
        <v>Station Fail</v>
      </c>
      <c r="AE92" s="82">
        <f ca="1">IFERROR(__xludf.DUMMYFUNCTION("""COMPUTED_VALUE"""),2.016)</f>
        <v>2.016</v>
      </c>
      <c r="AF92" s="83">
        <f ca="1">IFERROR(__xludf.DUMMYFUNCTION("""COMPUTED_VALUE"""),5)</f>
        <v>5</v>
      </c>
      <c r="AG92" s="75" t="str">
        <f ca="1">IFERROR(__xludf.DUMMYFUNCTION("""COMPUTED_VALUE"""),"Pass")</f>
        <v>Pass</v>
      </c>
      <c r="AH92" s="82">
        <f ca="1">IFERROR(__xludf.DUMMYFUNCTION("""COMPUTED_VALUE"""),1.92)</f>
        <v>1.92</v>
      </c>
      <c r="AI92" s="83">
        <f ca="1">IFERROR(__xludf.DUMMYFUNCTION("""COMPUTED_VALUE"""),3)</f>
        <v>3</v>
      </c>
      <c r="AJ92" s="75" t="str">
        <f ca="1">IFERROR(__xludf.DUMMYFUNCTION("""COMPUTED_VALUE"""),"Pass")</f>
        <v>Pass</v>
      </c>
      <c r="AK92" s="82">
        <f ca="1">IFERROR(__xludf.DUMMYFUNCTION("""COMPUTED_VALUE"""),1.95)</f>
        <v>1.95</v>
      </c>
      <c r="AL92" s="83">
        <f ca="1">IFERROR(__xludf.DUMMYFUNCTION("""COMPUTED_VALUE"""),3)</f>
        <v>3</v>
      </c>
      <c r="AM92" s="75" t="str">
        <f ca="1">IFERROR(__xludf.DUMMYFUNCTION("""COMPUTED_VALUE"""),"Pass")</f>
        <v>Pass</v>
      </c>
      <c r="AN92" s="82">
        <f ca="1">IFERROR(__xludf.DUMMYFUNCTION("""COMPUTED_VALUE"""),0.369230769230769)</f>
        <v>0.36923076923076897</v>
      </c>
      <c r="AO92" s="83">
        <f ca="1">IFERROR(__xludf.DUMMYFUNCTION("""COMPUTED_VALUE"""),1)</f>
        <v>1</v>
      </c>
      <c r="AP92" s="75" t="str">
        <f ca="1">IFERROR(__xludf.DUMMYFUNCTION("""COMPUTED_VALUE"""),"Station Fail")</f>
        <v>Station Fail</v>
      </c>
      <c r="AQ92" s="82"/>
      <c r="AR92" s="83"/>
      <c r="AS92" s="75"/>
      <c r="AT92" s="82"/>
      <c r="AU92" s="83"/>
      <c r="AV92" s="75"/>
      <c r="AW92" s="82"/>
      <c r="AX92" s="83"/>
      <c r="AY92" s="75"/>
      <c r="AZ92" s="82"/>
      <c r="BA92" s="83"/>
      <c r="BB92" s="75"/>
      <c r="BC92" s="82"/>
      <c r="BD92" s="83"/>
      <c r="BE92" s="75"/>
      <c r="BF92" s="82"/>
      <c r="BG92" s="83"/>
      <c r="BH92" s="75"/>
      <c r="BI92" s="46"/>
    </row>
    <row r="93" spans="1:61" ht="22.5" customHeight="1" x14ac:dyDescent="0.25">
      <c r="A93" s="46"/>
      <c r="B93" s="85"/>
      <c r="C93" s="75"/>
      <c r="D93" s="75"/>
      <c r="E93" s="75"/>
      <c r="F93" s="76"/>
      <c r="G93" s="77">
        <f ca="1">IFERROR(__xludf.DUMMYFUNCTION("""COMPUTED_VALUE"""),0)</f>
        <v>0</v>
      </c>
      <c r="H93" s="78">
        <f ca="1">IFERROR(__xludf.DUMMYFUNCTION("""COMPUTED_VALUE"""),10)</f>
        <v>10</v>
      </c>
      <c r="I93" s="79">
        <f ca="1">IFERROR(__xludf.DUMMYFUNCTION("""COMPUTED_VALUE"""),1)</f>
        <v>1</v>
      </c>
      <c r="J93" s="264"/>
      <c r="K93" s="82">
        <f ca="1">IFERROR(__xludf.DUMMYFUNCTION("""COMPUTED_VALUE"""),20.31)</f>
        <v>20.309999999999999</v>
      </c>
      <c r="L93" s="81" t="str">
        <f ca="1">IFERROR(__xludf.DUMMYFUNCTION("""COMPUTED_VALUE"""),"Pass")</f>
        <v>Pass</v>
      </c>
      <c r="M93" s="82">
        <f ca="1">IFERROR(__xludf.DUMMYFUNCTION("""COMPUTED_VALUE"""),1.575)</f>
        <v>1.575</v>
      </c>
      <c r="N93" s="83">
        <f ca="1">IFERROR(__xludf.DUMMYFUNCTION("""COMPUTED_VALUE"""),4)</f>
        <v>4</v>
      </c>
      <c r="O93" s="75" t="str">
        <f ca="1">IFERROR(__xludf.DUMMYFUNCTION("""COMPUTED_VALUE"""),"Pass")</f>
        <v>Pass</v>
      </c>
      <c r="P93" s="82">
        <f ca="1">IFERROR(__xludf.DUMMYFUNCTION("""COMPUTED_VALUE"""),2.32258064516129)</f>
        <v>2.32258064516129</v>
      </c>
      <c r="Q93" s="83">
        <f ca="1">IFERROR(__xludf.DUMMYFUNCTION("""COMPUTED_VALUE"""),5)</f>
        <v>5</v>
      </c>
      <c r="R93" s="75" t="str">
        <f ca="1">IFERROR(__xludf.DUMMYFUNCTION("""COMPUTED_VALUE"""),"Pass")</f>
        <v>Pass</v>
      </c>
      <c r="S93" s="82">
        <f ca="1">IFERROR(__xludf.DUMMYFUNCTION("""COMPUTED_VALUE"""),1.9)</f>
        <v>1.9</v>
      </c>
      <c r="T93" s="83">
        <f ca="1">IFERROR(__xludf.DUMMYFUNCTION("""COMPUTED_VALUE"""),4)</f>
        <v>4</v>
      </c>
      <c r="U93" s="75" t="str">
        <f ca="1">IFERROR(__xludf.DUMMYFUNCTION("""COMPUTED_VALUE"""),"Pass")</f>
        <v>Pass</v>
      </c>
      <c r="V93" s="82">
        <f ca="1">IFERROR(__xludf.DUMMYFUNCTION("""COMPUTED_VALUE"""),2.04)</f>
        <v>2.04</v>
      </c>
      <c r="W93" s="83">
        <f ca="1">IFERROR(__xludf.DUMMYFUNCTION("""COMPUTED_VALUE"""),5)</f>
        <v>5</v>
      </c>
      <c r="X93" s="75" t="str">
        <f ca="1">IFERROR(__xludf.DUMMYFUNCTION("""COMPUTED_VALUE"""),"Pass")</f>
        <v>Pass</v>
      </c>
      <c r="Y93" s="82">
        <f ca="1">IFERROR(__xludf.DUMMYFUNCTION("""COMPUTED_VALUE"""),2.16)</f>
        <v>2.16</v>
      </c>
      <c r="Z93" s="83">
        <f ca="1">IFERROR(__xludf.DUMMYFUNCTION("""COMPUTED_VALUE"""),4)</f>
        <v>4</v>
      </c>
      <c r="AA93" s="75" t="str">
        <f ca="1">IFERROR(__xludf.DUMMYFUNCTION("""COMPUTED_VALUE"""),"Pass")</f>
        <v>Pass</v>
      </c>
      <c r="AB93" s="82">
        <f ca="1">IFERROR(__xludf.DUMMYFUNCTION("""COMPUTED_VALUE"""),2.4)</f>
        <v>2.4</v>
      </c>
      <c r="AC93" s="83">
        <f ca="1">IFERROR(__xludf.DUMMYFUNCTION("""COMPUTED_VALUE"""),5)</f>
        <v>5</v>
      </c>
      <c r="AD93" s="75" t="str">
        <f ca="1">IFERROR(__xludf.DUMMYFUNCTION("""COMPUTED_VALUE"""),"Pass")</f>
        <v>Pass</v>
      </c>
      <c r="AE93" s="82">
        <f ca="1">IFERROR(__xludf.DUMMYFUNCTION("""COMPUTED_VALUE"""),2.304)</f>
        <v>2.3039999999999998</v>
      </c>
      <c r="AF93" s="83">
        <f ca="1">IFERROR(__xludf.DUMMYFUNCTION("""COMPUTED_VALUE"""),5)</f>
        <v>5</v>
      </c>
      <c r="AG93" s="75" t="str">
        <f ca="1">IFERROR(__xludf.DUMMYFUNCTION("""COMPUTED_VALUE"""),"Pass")</f>
        <v>Pass</v>
      </c>
      <c r="AH93" s="82">
        <f ca="1">IFERROR(__xludf.DUMMYFUNCTION("""COMPUTED_VALUE"""),1.98857142857142)</f>
        <v>1.98857142857142</v>
      </c>
      <c r="AI93" s="83">
        <f ca="1">IFERROR(__xludf.DUMMYFUNCTION("""COMPUTED_VALUE"""),4)</f>
        <v>4</v>
      </c>
      <c r="AJ93" s="75" t="str">
        <f ca="1">IFERROR(__xludf.DUMMYFUNCTION("""COMPUTED_VALUE"""),"Pass")</f>
        <v>Pass</v>
      </c>
      <c r="AK93" s="82">
        <f ca="1">IFERROR(__xludf.DUMMYFUNCTION("""COMPUTED_VALUE"""),2.32499999999999)</f>
        <v>2.32499999999999</v>
      </c>
      <c r="AL93" s="83">
        <f ca="1">IFERROR(__xludf.DUMMYFUNCTION("""COMPUTED_VALUE"""),5)</f>
        <v>5</v>
      </c>
      <c r="AM93" s="75" t="str">
        <f ca="1">IFERROR(__xludf.DUMMYFUNCTION("""COMPUTED_VALUE"""),"Pass")</f>
        <v>Pass</v>
      </c>
      <c r="AN93" s="82">
        <f ca="1">IFERROR(__xludf.DUMMYFUNCTION("""COMPUTED_VALUE"""),1.29230769230769)</f>
        <v>1.2923076923076899</v>
      </c>
      <c r="AO93" s="83">
        <f ca="1">IFERROR(__xludf.DUMMYFUNCTION("""COMPUTED_VALUE"""),3)</f>
        <v>3</v>
      </c>
      <c r="AP93" s="75" t="str">
        <f ca="1">IFERROR(__xludf.DUMMYFUNCTION("""COMPUTED_VALUE"""),"Station Fail")</f>
        <v>Station Fail</v>
      </c>
      <c r="AQ93" s="82"/>
      <c r="AR93" s="83"/>
      <c r="AS93" s="75"/>
      <c r="AT93" s="82"/>
      <c r="AU93" s="83"/>
      <c r="AV93" s="75"/>
      <c r="AW93" s="82"/>
      <c r="AX93" s="83"/>
      <c r="AY93" s="75"/>
      <c r="AZ93" s="82"/>
      <c r="BA93" s="83"/>
      <c r="BB93" s="75"/>
      <c r="BC93" s="82"/>
      <c r="BD93" s="83"/>
      <c r="BE93" s="75"/>
      <c r="BF93" s="82"/>
      <c r="BG93" s="83"/>
      <c r="BH93" s="75"/>
      <c r="BI93" s="46"/>
    </row>
    <row r="94" spans="1:61" ht="22.5" customHeight="1" x14ac:dyDescent="0.25">
      <c r="A94" s="46"/>
      <c r="B94" s="85"/>
      <c r="C94" s="75"/>
      <c r="D94" s="75"/>
      <c r="E94" s="75"/>
      <c r="F94" s="76"/>
      <c r="G94" s="77">
        <f ca="1">IFERROR(__xludf.DUMMYFUNCTION("""COMPUTED_VALUE"""),0)</f>
        <v>0</v>
      </c>
      <c r="H94" s="78">
        <f ca="1">IFERROR(__xludf.DUMMYFUNCTION("""COMPUTED_VALUE"""),10)</f>
        <v>10</v>
      </c>
      <c r="I94" s="79">
        <f ca="1">IFERROR(__xludf.DUMMYFUNCTION("""COMPUTED_VALUE"""),0)</f>
        <v>0</v>
      </c>
      <c r="J94" s="264"/>
      <c r="K94" s="82">
        <f ca="1">IFERROR(__xludf.DUMMYFUNCTION("""COMPUTED_VALUE"""),22.35)</f>
        <v>22.35</v>
      </c>
      <c r="L94" s="81" t="str">
        <f ca="1">IFERROR(__xludf.DUMMYFUNCTION("""COMPUTED_VALUE"""),"Pass")</f>
        <v>Pass</v>
      </c>
      <c r="M94" s="82">
        <f ca="1">IFERROR(__xludf.DUMMYFUNCTION("""COMPUTED_VALUE"""),2.175)</f>
        <v>2.1749999999999998</v>
      </c>
      <c r="N94" s="83">
        <f ca="1">IFERROR(__xludf.DUMMYFUNCTION("""COMPUTED_VALUE"""),4)</f>
        <v>4</v>
      </c>
      <c r="O94" s="75" t="str">
        <f ca="1">IFERROR(__xludf.DUMMYFUNCTION("""COMPUTED_VALUE"""),"Pass")</f>
        <v>Pass</v>
      </c>
      <c r="P94" s="82">
        <f ca="1">IFERROR(__xludf.DUMMYFUNCTION("""COMPUTED_VALUE"""),2.4)</f>
        <v>2.4</v>
      </c>
      <c r="Q94" s="83">
        <f ca="1">IFERROR(__xludf.DUMMYFUNCTION("""COMPUTED_VALUE"""),5)</f>
        <v>5</v>
      </c>
      <c r="R94" s="75" t="str">
        <f ca="1">IFERROR(__xludf.DUMMYFUNCTION("""COMPUTED_VALUE"""),"Pass")</f>
        <v>Pass</v>
      </c>
      <c r="S94" s="82">
        <f ca="1">IFERROR(__xludf.DUMMYFUNCTION("""COMPUTED_VALUE"""),2)</f>
        <v>2</v>
      </c>
      <c r="T94" s="83">
        <f ca="1">IFERROR(__xludf.DUMMYFUNCTION("""COMPUTED_VALUE"""),4)</f>
        <v>4</v>
      </c>
      <c r="U94" s="75" t="str">
        <f ca="1">IFERROR(__xludf.DUMMYFUNCTION("""COMPUTED_VALUE"""),"Pass")</f>
        <v>Pass</v>
      </c>
      <c r="V94" s="82">
        <f ca="1">IFERROR(__xludf.DUMMYFUNCTION("""COMPUTED_VALUE"""),2.4)</f>
        <v>2.4</v>
      </c>
      <c r="W94" s="83">
        <f ca="1">IFERROR(__xludf.DUMMYFUNCTION("""COMPUTED_VALUE"""),5)</f>
        <v>5</v>
      </c>
      <c r="X94" s="75" t="str">
        <f ca="1">IFERROR(__xludf.DUMMYFUNCTION("""COMPUTED_VALUE"""),"Pass")</f>
        <v>Pass</v>
      </c>
      <c r="Y94" s="82">
        <f ca="1">IFERROR(__xludf.DUMMYFUNCTION("""COMPUTED_VALUE"""),2.4)</f>
        <v>2.4</v>
      </c>
      <c r="Z94" s="83">
        <f ca="1">IFERROR(__xludf.DUMMYFUNCTION("""COMPUTED_VALUE"""),5)</f>
        <v>5</v>
      </c>
      <c r="AA94" s="75" t="str">
        <f ca="1">IFERROR(__xludf.DUMMYFUNCTION("""COMPUTED_VALUE"""),"Pass")</f>
        <v>Pass</v>
      </c>
      <c r="AB94" s="82">
        <f ca="1">IFERROR(__xludf.DUMMYFUNCTION("""COMPUTED_VALUE"""),2.4)</f>
        <v>2.4</v>
      </c>
      <c r="AC94" s="83">
        <f ca="1">IFERROR(__xludf.DUMMYFUNCTION("""COMPUTED_VALUE"""),5)</f>
        <v>5</v>
      </c>
      <c r="AD94" s="75" t="str">
        <f ca="1">IFERROR(__xludf.DUMMYFUNCTION("""COMPUTED_VALUE"""),"Pass")</f>
        <v>Pass</v>
      </c>
      <c r="AE94" s="82">
        <f ca="1">IFERROR(__xludf.DUMMYFUNCTION("""COMPUTED_VALUE"""),2.304)</f>
        <v>2.3039999999999998</v>
      </c>
      <c r="AF94" s="83">
        <f ca="1">IFERROR(__xludf.DUMMYFUNCTION("""COMPUTED_VALUE"""),4)</f>
        <v>4</v>
      </c>
      <c r="AG94" s="75" t="str">
        <f ca="1">IFERROR(__xludf.DUMMYFUNCTION("""COMPUTED_VALUE"""),"Pass")</f>
        <v>Pass</v>
      </c>
      <c r="AH94" s="82">
        <f ca="1">IFERROR(__xludf.DUMMYFUNCTION("""COMPUTED_VALUE"""),1.98857142857142)</f>
        <v>1.98857142857142</v>
      </c>
      <c r="AI94" s="83">
        <f ca="1">IFERROR(__xludf.DUMMYFUNCTION("""COMPUTED_VALUE"""),3)</f>
        <v>3</v>
      </c>
      <c r="AJ94" s="75" t="str">
        <f ca="1">IFERROR(__xludf.DUMMYFUNCTION("""COMPUTED_VALUE"""),"Pass")</f>
        <v>Pass</v>
      </c>
      <c r="AK94" s="82">
        <f ca="1">IFERROR(__xludf.DUMMYFUNCTION("""COMPUTED_VALUE"""),2.25)</f>
        <v>2.25</v>
      </c>
      <c r="AL94" s="83">
        <f ca="1">IFERROR(__xludf.DUMMYFUNCTION("""COMPUTED_VALUE"""),5)</f>
        <v>5</v>
      </c>
      <c r="AM94" s="75" t="str">
        <f ca="1">IFERROR(__xludf.DUMMYFUNCTION("""COMPUTED_VALUE"""),"Pass")</f>
        <v>Pass</v>
      </c>
      <c r="AN94" s="82">
        <f ca="1">IFERROR(__xludf.DUMMYFUNCTION("""COMPUTED_VALUE"""),2.03076923076923)</f>
        <v>2.0307692307692302</v>
      </c>
      <c r="AO94" s="83">
        <f ca="1">IFERROR(__xludf.DUMMYFUNCTION("""COMPUTED_VALUE"""),3)</f>
        <v>3</v>
      </c>
      <c r="AP94" s="75" t="str">
        <f ca="1">IFERROR(__xludf.DUMMYFUNCTION("""COMPUTED_VALUE"""),"Pass")</f>
        <v>Pass</v>
      </c>
      <c r="AQ94" s="82"/>
      <c r="AR94" s="83"/>
      <c r="AS94" s="75"/>
      <c r="AT94" s="82"/>
      <c r="AU94" s="83"/>
      <c r="AV94" s="75"/>
      <c r="AW94" s="82"/>
      <c r="AX94" s="83"/>
      <c r="AY94" s="75"/>
      <c r="AZ94" s="82"/>
      <c r="BA94" s="83"/>
      <c r="BB94" s="75"/>
      <c r="BC94" s="82"/>
      <c r="BD94" s="83"/>
      <c r="BE94" s="75"/>
      <c r="BF94" s="82"/>
      <c r="BG94" s="83"/>
      <c r="BH94" s="75"/>
      <c r="BI94" s="46"/>
    </row>
    <row r="95" spans="1:61" ht="22.5" customHeight="1" x14ac:dyDescent="0.25">
      <c r="A95" s="46"/>
      <c r="B95" s="85"/>
      <c r="C95" s="75"/>
      <c r="D95" s="75"/>
      <c r="E95" s="75"/>
      <c r="F95" s="76"/>
      <c r="G95" s="77">
        <f ca="1">IFERROR(__xludf.DUMMYFUNCTION("""COMPUTED_VALUE"""),0)</f>
        <v>0</v>
      </c>
      <c r="H95" s="78">
        <f ca="1">IFERROR(__xludf.DUMMYFUNCTION("""COMPUTED_VALUE"""),10)</f>
        <v>10</v>
      </c>
      <c r="I95" s="79">
        <f ca="1">IFERROR(__xludf.DUMMYFUNCTION("""COMPUTED_VALUE"""),1)</f>
        <v>1</v>
      </c>
      <c r="J95" s="264"/>
      <c r="K95" s="82">
        <f ca="1">IFERROR(__xludf.DUMMYFUNCTION("""COMPUTED_VALUE"""),20.14)</f>
        <v>20.14</v>
      </c>
      <c r="L95" s="81" t="str">
        <f ca="1">IFERROR(__xludf.DUMMYFUNCTION("""COMPUTED_VALUE"""),"Pass")</f>
        <v>Pass</v>
      </c>
      <c r="M95" s="82">
        <f ca="1">IFERROR(__xludf.DUMMYFUNCTION("""COMPUTED_VALUE"""),1.72499999999999)</f>
        <v>1.7249999999999901</v>
      </c>
      <c r="N95" s="83">
        <f ca="1">IFERROR(__xludf.DUMMYFUNCTION("""COMPUTED_VALUE"""),4)</f>
        <v>4</v>
      </c>
      <c r="O95" s="75" t="str">
        <f ca="1">IFERROR(__xludf.DUMMYFUNCTION("""COMPUTED_VALUE"""),"Pass")</f>
        <v>Pass</v>
      </c>
      <c r="P95" s="82">
        <f ca="1">IFERROR(__xludf.DUMMYFUNCTION("""COMPUTED_VALUE"""),1.85806451612903)</f>
        <v>1.8580645161290299</v>
      </c>
      <c r="Q95" s="83">
        <f ca="1">IFERROR(__xludf.DUMMYFUNCTION("""COMPUTED_VALUE"""),4)</f>
        <v>4</v>
      </c>
      <c r="R95" s="75" t="str">
        <f ca="1">IFERROR(__xludf.DUMMYFUNCTION("""COMPUTED_VALUE"""),"Pass")</f>
        <v>Pass</v>
      </c>
      <c r="S95" s="82">
        <f ca="1">IFERROR(__xludf.DUMMYFUNCTION("""COMPUTED_VALUE"""),2.1)</f>
        <v>2.1</v>
      </c>
      <c r="T95" s="83">
        <f ca="1">IFERROR(__xludf.DUMMYFUNCTION("""COMPUTED_VALUE"""),4)</f>
        <v>4</v>
      </c>
      <c r="U95" s="75" t="str">
        <f ca="1">IFERROR(__xludf.DUMMYFUNCTION("""COMPUTED_VALUE"""),"Pass")</f>
        <v>Pass</v>
      </c>
      <c r="V95" s="82">
        <f ca="1">IFERROR(__xludf.DUMMYFUNCTION("""COMPUTED_VALUE"""),2.4)</f>
        <v>2.4</v>
      </c>
      <c r="W95" s="83">
        <f ca="1">IFERROR(__xludf.DUMMYFUNCTION("""COMPUTED_VALUE"""),5)</f>
        <v>5</v>
      </c>
      <c r="X95" s="75" t="str">
        <f ca="1">IFERROR(__xludf.DUMMYFUNCTION("""COMPUTED_VALUE"""),"Pass")</f>
        <v>Pass</v>
      </c>
      <c r="Y95" s="82">
        <f ca="1">IFERROR(__xludf.DUMMYFUNCTION("""COMPUTED_VALUE"""),2.4)</f>
        <v>2.4</v>
      </c>
      <c r="Z95" s="83">
        <f ca="1">IFERROR(__xludf.DUMMYFUNCTION("""COMPUTED_VALUE"""),5)</f>
        <v>5</v>
      </c>
      <c r="AA95" s="75" t="str">
        <f ca="1">IFERROR(__xludf.DUMMYFUNCTION("""COMPUTED_VALUE"""),"Pass")</f>
        <v>Pass</v>
      </c>
      <c r="AB95" s="82">
        <f ca="1">IFERROR(__xludf.DUMMYFUNCTION("""COMPUTED_VALUE"""),2.1)</f>
        <v>2.1</v>
      </c>
      <c r="AC95" s="83">
        <f ca="1">IFERROR(__xludf.DUMMYFUNCTION("""COMPUTED_VALUE"""),4)</f>
        <v>4</v>
      </c>
      <c r="AD95" s="75" t="str">
        <f ca="1">IFERROR(__xludf.DUMMYFUNCTION("""COMPUTED_VALUE"""),"Pass")</f>
        <v>Pass</v>
      </c>
      <c r="AE95" s="82">
        <f ca="1">IFERROR(__xludf.DUMMYFUNCTION("""COMPUTED_VALUE"""),2.112)</f>
        <v>2.1120000000000001</v>
      </c>
      <c r="AF95" s="83">
        <f ca="1">IFERROR(__xludf.DUMMYFUNCTION("""COMPUTED_VALUE"""),5)</f>
        <v>5</v>
      </c>
      <c r="AG95" s="75" t="str">
        <f ca="1">IFERROR(__xludf.DUMMYFUNCTION("""COMPUTED_VALUE"""),"Pass")</f>
        <v>Pass</v>
      </c>
      <c r="AH95" s="82">
        <f ca="1">IFERROR(__xludf.DUMMYFUNCTION("""COMPUTED_VALUE"""),2.05714285714285)</f>
        <v>2.0571428571428498</v>
      </c>
      <c r="AI95" s="83">
        <f ca="1">IFERROR(__xludf.DUMMYFUNCTION("""COMPUTED_VALUE"""),5)</f>
        <v>5</v>
      </c>
      <c r="AJ95" s="75" t="str">
        <f ca="1">IFERROR(__xludf.DUMMYFUNCTION("""COMPUTED_VALUE"""),"Pass")</f>
        <v>Pass</v>
      </c>
      <c r="AK95" s="82">
        <f ca="1">IFERROR(__xludf.DUMMYFUNCTION("""COMPUTED_VALUE"""),2.1)</f>
        <v>2.1</v>
      </c>
      <c r="AL95" s="83">
        <f ca="1">IFERROR(__xludf.DUMMYFUNCTION("""COMPUTED_VALUE"""),4)</f>
        <v>4</v>
      </c>
      <c r="AM95" s="75" t="str">
        <f ca="1">IFERROR(__xludf.DUMMYFUNCTION("""COMPUTED_VALUE"""),"Pass")</f>
        <v>Pass</v>
      </c>
      <c r="AN95" s="82">
        <f ca="1">IFERROR(__xludf.DUMMYFUNCTION("""COMPUTED_VALUE"""),1.29230769230769)</f>
        <v>1.2923076923076899</v>
      </c>
      <c r="AO95" s="83">
        <f ca="1">IFERROR(__xludf.DUMMYFUNCTION("""COMPUTED_VALUE"""),3)</f>
        <v>3</v>
      </c>
      <c r="AP95" s="75" t="str">
        <f ca="1">IFERROR(__xludf.DUMMYFUNCTION("""COMPUTED_VALUE"""),"Station Fail")</f>
        <v>Station Fail</v>
      </c>
      <c r="AQ95" s="82"/>
      <c r="AR95" s="83"/>
      <c r="AS95" s="75"/>
      <c r="AT95" s="82"/>
      <c r="AU95" s="83"/>
      <c r="AV95" s="75"/>
      <c r="AW95" s="82"/>
      <c r="AX95" s="83"/>
      <c r="AY95" s="75"/>
      <c r="AZ95" s="82"/>
      <c r="BA95" s="83"/>
      <c r="BB95" s="75"/>
      <c r="BC95" s="82"/>
      <c r="BD95" s="83"/>
      <c r="BE95" s="75"/>
      <c r="BF95" s="82"/>
      <c r="BG95" s="83"/>
      <c r="BH95" s="75"/>
      <c r="BI95" s="46"/>
    </row>
    <row r="96" spans="1:61" ht="22.5" customHeight="1" x14ac:dyDescent="0.25">
      <c r="A96" s="46"/>
      <c r="B96" s="85"/>
      <c r="C96" s="75"/>
      <c r="D96" s="75"/>
      <c r="E96" s="75"/>
      <c r="F96" s="76"/>
      <c r="G96" s="77">
        <f ca="1">IFERROR(__xludf.DUMMYFUNCTION("""COMPUTED_VALUE"""),0)</f>
        <v>0</v>
      </c>
      <c r="H96" s="78">
        <f ca="1">IFERROR(__xludf.DUMMYFUNCTION("""COMPUTED_VALUE"""),10)</f>
        <v>10</v>
      </c>
      <c r="I96" s="79">
        <f ca="1">IFERROR(__xludf.DUMMYFUNCTION("""COMPUTED_VALUE"""),0)</f>
        <v>0</v>
      </c>
      <c r="J96" s="264"/>
      <c r="K96" s="82">
        <f ca="1">IFERROR(__xludf.DUMMYFUNCTION("""COMPUTED_VALUE"""),20.65)</f>
        <v>20.65</v>
      </c>
      <c r="L96" s="81" t="str">
        <f ca="1">IFERROR(__xludf.DUMMYFUNCTION("""COMPUTED_VALUE"""),"Pass")</f>
        <v>Pass</v>
      </c>
      <c r="M96" s="82">
        <f ca="1">IFERROR(__xludf.DUMMYFUNCTION("""COMPUTED_VALUE"""),1.79999999999999)</f>
        <v>1.7999999999999901</v>
      </c>
      <c r="N96" s="83">
        <f ca="1">IFERROR(__xludf.DUMMYFUNCTION("""COMPUTED_VALUE"""),4)</f>
        <v>4</v>
      </c>
      <c r="O96" s="75" t="str">
        <f ca="1">IFERROR(__xludf.DUMMYFUNCTION("""COMPUTED_VALUE"""),"Pass")</f>
        <v>Pass</v>
      </c>
      <c r="P96" s="82">
        <f ca="1">IFERROR(__xludf.DUMMYFUNCTION("""COMPUTED_VALUE"""),2.32258064516129)</f>
        <v>2.32258064516129</v>
      </c>
      <c r="Q96" s="83">
        <f ca="1">IFERROR(__xludf.DUMMYFUNCTION("""COMPUTED_VALUE"""),5)</f>
        <v>5</v>
      </c>
      <c r="R96" s="75" t="str">
        <f ca="1">IFERROR(__xludf.DUMMYFUNCTION("""COMPUTED_VALUE"""),"Pass")</f>
        <v>Pass</v>
      </c>
      <c r="S96" s="82">
        <f ca="1">IFERROR(__xludf.DUMMYFUNCTION("""COMPUTED_VALUE"""),2.1)</f>
        <v>2.1</v>
      </c>
      <c r="T96" s="83">
        <f ca="1">IFERROR(__xludf.DUMMYFUNCTION("""COMPUTED_VALUE"""),5)</f>
        <v>5</v>
      </c>
      <c r="U96" s="75" t="str">
        <f ca="1">IFERROR(__xludf.DUMMYFUNCTION("""COMPUTED_VALUE"""),"Pass")</f>
        <v>Pass</v>
      </c>
      <c r="V96" s="82">
        <f ca="1">IFERROR(__xludf.DUMMYFUNCTION("""COMPUTED_VALUE"""),2.16)</f>
        <v>2.16</v>
      </c>
      <c r="W96" s="83">
        <f ca="1">IFERROR(__xludf.DUMMYFUNCTION("""COMPUTED_VALUE"""),5)</f>
        <v>5</v>
      </c>
      <c r="X96" s="75" t="str">
        <f ca="1">IFERROR(__xludf.DUMMYFUNCTION("""COMPUTED_VALUE"""),"Pass")</f>
        <v>Pass</v>
      </c>
      <c r="Y96" s="82">
        <f ca="1">IFERROR(__xludf.DUMMYFUNCTION("""COMPUTED_VALUE"""),2.4)</f>
        <v>2.4</v>
      </c>
      <c r="Z96" s="83">
        <f ca="1">IFERROR(__xludf.DUMMYFUNCTION("""COMPUTED_VALUE"""),5)</f>
        <v>5</v>
      </c>
      <c r="AA96" s="75" t="str">
        <f ca="1">IFERROR(__xludf.DUMMYFUNCTION("""COMPUTED_VALUE"""),"Pass")</f>
        <v>Pass</v>
      </c>
      <c r="AB96" s="82">
        <f ca="1">IFERROR(__xludf.DUMMYFUNCTION("""COMPUTED_VALUE"""),2.4)</f>
        <v>2.4</v>
      </c>
      <c r="AC96" s="83">
        <f ca="1">IFERROR(__xludf.DUMMYFUNCTION("""COMPUTED_VALUE"""),5)</f>
        <v>5</v>
      </c>
      <c r="AD96" s="75" t="str">
        <f ca="1">IFERROR(__xludf.DUMMYFUNCTION("""COMPUTED_VALUE"""),"Pass")</f>
        <v>Pass</v>
      </c>
      <c r="AE96" s="82">
        <f ca="1">IFERROR(__xludf.DUMMYFUNCTION("""COMPUTED_VALUE"""),2.016)</f>
        <v>2.016</v>
      </c>
      <c r="AF96" s="83">
        <f ca="1">IFERROR(__xludf.DUMMYFUNCTION("""COMPUTED_VALUE"""),4)</f>
        <v>4</v>
      </c>
      <c r="AG96" s="75" t="str">
        <f ca="1">IFERROR(__xludf.DUMMYFUNCTION("""COMPUTED_VALUE"""),"Pass")</f>
        <v>Pass</v>
      </c>
      <c r="AH96" s="82">
        <f ca="1">IFERROR(__xludf.DUMMYFUNCTION("""COMPUTED_VALUE"""),1.57714285714285)</f>
        <v>1.5771428571428501</v>
      </c>
      <c r="AI96" s="83">
        <f ca="1">IFERROR(__xludf.DUMMYFUNCTION("""COMPUTED_VALUE"""),2)</f>
        <v>2</v>
      </c>
      <c r="AJ96" s="75" t="str">
        <f ca="1">IFERROR(__xludf.DUMMYFUNCTION("""COMPUTED_VALUE"""),"Pass")</f>
        <v>Pass</v>
      </c>
      <c r="AK96" s="82">
        <f ca="1">IFERROR(__xludf.DUMMYFUNCTION("""COMPUTED_VALUE"""),2.4)</f>
        <v>2.4</v>
      </c>
      <c r="AL96" s="83">
        <f ca="1">IFERROR(__xludf.DUMMYFUNCTION("""COMPUTED_VALUE"""),5)</f>
        <v>5</v>
      </c>
      <c r="AM96" s="75" t="str">
        <f ca="1">IFERROR(__xludf.DUMMYFUNCTION("""COMPUTED_VALUE"""),"Pass")</f>
        <v>Pass</v>
      </c>
      <c r="AN96" s="82">
        <f ca="1">IFERROR(__xludf.DUMMYFUNCTION("""COMPUTED_VALUE"""),1.47692307692307)</f>
        <v>1.4769230769230699</v>
      </c>
      <c r="AO96" s="83">
        <f ca="1">IFERROR(__xludf.DUMMYFUNCTION("""COMPUTED_VALUE"""),3)</f>
        <v>3</v>
      </c>
      <c r="AP96" s="75" t="str">
        <f ca="1">IFERROR(__xludf.DUMMYFUNCTION("""COMPUTED_VALUE"""),"Pass")</f>
        <v>Pass</v>
      </c>
      <c r="AQ96" s="82"/>
      <c r="AR96" s="83"/>
      <c r="AS96" s="75"/>
      <c r="AT96" s="82"/>
      <c r="AU96" s="83"/>
      <c r="AV96" s="75"/>
      <c r="AW96" s="82"/>
      <c r="AX96" s="83"/>
      <c r="AY96" s="75"/>
      <c r="AZ96" s="82"/>
      <c r="BA96" s="83"/>
      <c r="BB96" s="75"/>
      <c r="BC96" s="82"/>
      <c r="BD96" s="83"/>
      <c r="BE96" s="75"/>
      <c r="BF96" s="82"/>
      <c r="BG96" s="83"/>
      <c r="BH96" s="75"/>
      <c r="BI96" s="46"/>
    </row>
    <row r="97" spans="1:61" ht="22.5" customHeight="1" x14ac:dyDescent="0.25">
      <c r="A97" s="46"/>
      <c r="B97" s="85"/>
      <c r="C97" s="75"/>
      <c r="D97" s="75"/>
      <c r="E97" s="75"/>
      <c r="F97" s="76"/>
      <c r="G97" s="77">
        <f ca="1">IFERROR(__xludf.DUMMYFUNCTION("""COMPUTED_VALUE"""),0)</f>
        <v>0</v>
      </c>
      <c r="H97" s="78">
        <f ca="1">IFERROR(__xludf.DUMMYFUNCTION("""COMPUTED_VALUE"""),10)</f>
        <v>10</v>
      </c>
      <c r="I97" s="79">
        <f ca="1">IFERROR(__xludf.DUMMYFUNCTION("""COMPUTED_VALUE"""),0)</f>
        <v>0</v>
      </c>
      <c r="J97" s="264"/>
      <c r="K97" s="82">
        <f ca="1">IFERROR(__xludf.DUMMYFUNCTION("""COMPUTED_VALUE"""),20.6)</f>
        <v>20.6</v>
      </c>
      <c r="L97" s="81" t="str">
        <f ca="1">IFERROR(__xludf.DUMMYFUNCTION("""COMPUTED_VALUE"""),"Pass")</f>
        <v>Pass</v>
      </c>
      <c r="M97" s="82">
        <f ca="1">IFERROR(__xludf.DUMMYFUNCTION("""COMPUTED_VALUE"""),1.65)</f>
        <v>1.65</v>
      </c>
      <c r="N97" s="83">
        <f ca="1">IFERROR(__xludf.DUMMYFUNCTION("""COMPUTED_VALUE"""),4)</f>
        <v>4</v>
      </c>
      <c r="O97" s="75" t="str">
        <f ca="1">IFERROR(__xludf.DUMMYFUNCTION("""COMPUTED_VALUE"""),"Pass")</f>
        <v>Pass</v>
      </c>
      <c r="P97" s="82">
        <f ca="1">IFERROR(__xludf.DUMMYFUNCTION("""COMPUTED_VALUE"""),2.24516129032258)</f>
        <v>2.2451612903225802</v>
      </c>
      <c r="Q97" s="83">
        <f ca="1">IFERROR(__xludf.DUMMYFUNCTION("""COMPUTED_VALUE"""),5)</f>
        <v>5</v>
      </c>
      <c r="R97" s="75" t="str">
        <f ca="1">IFERROR(__xludf.DUMMYFUNCTION("""COMPUTED_VALUE"""),"Pass")</f>
        <v>Pass</v>
      </c>
      <c r="S97" s="82">
        <f ca="1">IFERROR(__xludf.DUMMYFUNCTION("""COMPUTED_VALUE"""),1.9)</f>
        <v>1.9</v>
      </c>
      <c r="T97" s="83">
        <f ca="1">IFERROR(__xludf.DUMMYFUNCTION("""COMPUTED_VALUE"""),4)</f>
        <v>4</v>
      </c>
      <c r="U97" s="75" t="str">
        <f ca="1">IFERROR(__xludf.DUMMYFUNCTION("""COMPUTED_VALUE"""),"Pass")</f>
        <v>Pass</v>
      </c>
      <c r="V97" s="82">
        <f ca="1">IFERROR(__xludf.DUMMYFUNCTION("""COMPUTED_VALUE"""),2.04)</f>
        <v>2.04</v>
      </c>
      <c r="W97" s="83">
        <f ca="1">IFERROR(__xludf.DUMMYFUNCTION("""COMPUTED_VALUE"""),5)</f>
        <v>5</v>
      </c>
      <c r="X97" s="75" t="str">
        <f ca="1">IFERROR(__xludf.DUMMYFUNCTION("""COMPUTED_VALUE"""),"Pass")</f>
        <v>Pass</v>
      </c>
      <c r="Y97" s="82">
        <f ca="1">IFERROR(__xludf.DUMMYFUNCTION("""COMPUTED_VALUE"""),2.4)</f>
        <v>2.4</v>
      </c>
      <c r="Z97" s="83">
        <f ca="1">IFERROR(__xludf.DUMMYFUNCTION("""COMPUTED_VALUE"""),5)</f>
        <v>5</v>
      </c>
      <c r="AA97" s="75" t="str">
        <f ca="1">IFERROR(__xludf.DUMMYFUNCTION("""COMPUTED_VALUE"""),"Pass")</f>
        <v>Pass</v>
      </c>
      <c r="AB97" s="82">
        <f ca="1">IFERROR(__xludf.DUMMYFUNCTION("""COMPUTED_VALUE"""),2.1)</f>
        <v>2.1</v>
      </c>
      <c r="AC97" s="83">
        <f ca="1">IFERROR(__xludf.DUMMYFUNCTION("""COMPUTED_VALUE"""),4)</f>
        <v>4</v>
      </c>
      <c r="AD97" s="75" t="str">
        <f ca="1">IFERROR(__xludf.DUMMYFUNCTION("""COMPUTED_VALUE"""),"Pass")</f>
        <v>Pass</v>
      </c>
      <c r="AE97" s="82">
        <f ca="1">IFERROR(__xludf.DUMMYFUNCTION("""COMPUTED_VALUE"""),1.92)</f>
        <v>1.92</v>
      </c>
      <c r="AF97" s="83">
        <f ca="1">IFERROR(__xludf.DUMMYFUNCTION("""COMPUTED_VALUE"""),4)</f>
        <v>4</v>
      </c>
      <c r="AG97" s="75" t="str">
        <f ca="1">IFERROR(__xludf.DUMMYFUNCTION("""COMPUTED_VALUE"""),"Pass")</f>
        <v>Pass</v>
      </c>
      <c r="AH97" s="82">
        <f ca="1">IFERROR(__xludf.DUMMYFUNCTION("""COMPUTED_VALUE"""),1.98857142857142)</f>
        <v>1.98857142857142</v>
      </c>
      <c r="AI97" s="83">
        <f ca="1">IFERROR(__xludf.DUMMYFUNCTION("""COMPUTED_VALUE"""),4)</f>
        <v>4</v>
      </c>
      <c r="AJ97" s="75" t="str">
        <f ca="1">IFERROR(__xludf.DUMMYFUNCTION("""COMPUTED_VALUE"""),"Pass")</f>
        <v>Pass</v>
      </c>
      <c r="AK97" s="82">
        <f ca="1">IFERROR(__xludf.DUMMYFUNCTION("""COMPUTED_VALUE"""),2.32499999999999)</f>
        <v>2.32499999999999</v>
      </c>
      <c r="AL97" s="83">
        <f ca="1">IFERROR(__xludf.DUMMYFUNCTION("""COMPUTED_VALUE"""),5)</f>
        <v>5</v>
      </c>
      <c r="AM97" s="75" t="str">
        <f ca="1">IFERROR(__xludf.DUMMYFUNCTION("""COMPUTED_VALUE"""),"Pass")</f>
        <v>Pass</v>
      </c>
      <c r="AN97" s="82">
        <f ca="1">IFERROR(__xludf.DUMMYFUNCTION("""COMPUTED_VALUE"""),2.03076923076923)</f>
        <v>2.0307692307692302</v>
      </c>
      <c r="AO97" s="83">
        <f ca="1">IFERROR(__xludf.DUMMYFUNCTION("""COMPUTED_VALUE"""),4)</f>
        <v>4</v>
      </c>
      <c r="AP97" s="75" t="str">
        <f ca="1">IFERROR(__xludf.DUMMYFUNCTION("""COMPUTED_VALUE"""),"Pass")</f>
        <v>Pass</v>
      </c>
      <c r="AQ97" s="82"/>
      <c r="AR97" s="83"/>
      <c r="AS97" s="75"/>
      <c r="AT97" s="82"/>
      <c r="AU97" s="83"/>
      <c r="AV97" s="75"/>
      <c r="AW97" s="82"/>
      <c r="AX97" s="83"/>
      <c r="AY97" s="75"/>
      <c r="AZ97" s="82"/>
      <c r="BA97" s="83"/>
      <c r="BB97" s="75"/>
      <c r="BC97" s="82"/>
      <c r="BD97" s="83"/>
      <c r="BE97" s="75"/>
      <c r="BF97" s="82"/>
      <c r="BG97" s="83"/>
      <c r="BH97" s="75"/>
      <c r="BI97" s="46"/>
    </row>
    <row r="98" spans="1:61" ht="22.5" customHeight="1" x14ac:dyDescent="0.25">
      <c r="A98" s="46"/>
      <c r="B98" s="85"/>
      <c r="C98" s="75"/>
      <c r="D98" s="75"/>
      <c r="E98" s="75"/>
      <c r="F98" s="76"/>
      <c r="G98" s="77">
        <f ca="1">IFERROR(__xludf.DUMMYFUNCTION("""COMPUTED_VALUE"""),0)</f>
        <v>0</v>
      </c>
      <c r="H98" s="78">
        <f ca="1">IFERROR(__xludf.DUMMYFUNCTION("""COMPUTED_VALUE"""),10)</f>
        <v>10</v>
      </c>
      <c r="I98" s="79">
        <f ca="1">IFERROR(__xludf.DUMMYFUNCTION("""COMPUTED_VALUE"""),1)</f>
        <v>1</v>
      </c>
      <c r="J98" s="264"/>
      <c r="K98" s="82">
        <f ca="1">IFERROR(__xludf.DUMMYFUNCTION("""COMPUTED_VALUE"""),18.14)</f>
        <v>18.14</v>
      </c>
      <c r="L98" s="81" t="str">
        <f ca="1">IFERROR(__xludf.DUMMYFUNCTION("""COMPUTED_VALUE"""),"Pass")</f>
        <v>Pass</v>
      </c>
      <c r="M98" s="82">
        <f ca="1">IFERROR(__xludf.DUMMYFUNCTION("""COMPUTED_VALUE"""),1.5)</f>
        <v>1.5</v>
      </c>
      <c r="N98" s="83">
        <f ca="1">IFERROR(__xludf.DUMMYFUNCTION("""COMPUTED_VALUE"""),4)</f>
        <v>4</v>
      </c>
      <c r="O98" s="75" t="str">
        <f ca="1">IFERROR(__xludf.DUMMYFUNCTION("""COMPUTED_VALUE"""),"Pass")</f>
        <v>Pass</v>
      </c>
      <c r="P98" s="82">
        <f ca="1">IFERROR(__xludf.DUMMYFUNCTION("""COMPUTED_VALUE"""),2.01290322580645)</f>
        <v>2.0129032258064501</v>
      </c>
      <c r="Q98" s="83">
        <f ca="1">IFERROR(__xludf.DUMMYFUNCTION("""COMPUTED_VALUE"""),4)</f>
        <v>4</v>
      </c>
      <c r="R98" s="75" t="str">
        <f ca="1">IFERROR(__xludf.DUMMYFUNCTION("""COMPUTED_VALUE"""),"Pass")</f>
        <v>Pass</v>
      </c>
      <c r="S98" s="82">
        <f ca="1">IFERROR(__xludf.DUMMYFUNCTION("""COMPUTED_VALUE"""),1.79999999999999)</f>
        <v>1.7999999999999901</v>
      </c>
      <c r="T98" s="83">
        <f ca="1">IFERROR(__xludf.DUMMYFUNCTION("""COMPUTED_VALUE"""),4)</f>
        <v>4</v>
      </c>
      <c r="U98" s="75" t="str">
        <f ca="1">IFERROR(__xludf.DUMMYFUNCTION("""COMPUTED_VALUE"""),"Pass")</f>
        <v>Pass</v>
      </c>
      <c r="V98" s="82">
        <f ca="1">IFERROR(__xludf.DUMMYFUNCTION("""COMPUTED_VALUE"""),1.92)</f>
        <v>1.92</v>
      </c>
      <c r="W98" s="83">
        <f ca="1">IFERROR(__xludf.DUMMYFUNCTION("""COMPUTED_VALUE"""),4)</f>
        <v>4</v>
      </c>
      <c r="X98" s="75" t="str">
        <f ca="1">IFERROR(__xludf.DUMMYFUNCTION("""COMPUTED_VALUE"""),"Pass")</f>
        <v>Pass</v>
      </c>
      <c r="Y98" s="82">
        <f ca="1">IFERROR(__xludf.DUMMYFUNCTION("""COMPUTED_VALUE"""),2.4)</f>
        <v>2.4</v>
      </c>
      <c r="Z98" s="83">
        <f ca="1">IFERROR(__xludf.DUMMYFUNCTION("""COMPUTED_VALUE"""),5)</f>
        <v>5</v>
      </c>
      <c r="AA98" s="75" t="str">
        <f ca="1">IFERROR(__xludf.DUMMYFUNCTION("""COMPUTED_VALUE"""),"Pass")</f>
        <v>Pass</v>
      </c>
      <c r="AB98" s="82">
        <f ca="1">IFERROR(__xludf.DUMMYFUNCTION("""COMPUTED_VALUE"""),1.9)</f>
        <v>1.9</v>
      </c>
      <c r="AC98" s="83">
        <f ca="1">IFERROR(__xludf.DUMMYFUNCTION("""COMPUTED_VALUE"""),4)</f>
        <v>4</v>
      </c>
      <c r="AD98" s="75" t="str">
        <f ca="1">IFERROR(__xludf.DUMMYFUNCTION("""COMPUTED_VALUE"""),"Pass")</f>
        <v>Pass</v>
      </c>
      <c r="AE98" s="82">
        <f ca="1">IFERROR(__xludf.DUMMYFUNCTION("""COMPUTED_VALUE"""),2.208)</f>
        <v>2.2080000000000002</v>
      </c>
      <c r="AF98" s="83">
        <f ca="1">IFERROR(__xludf.DUMMYFUNCTION("""COMPUTED_VALUE"""),5)</f>
        <v>5</v>
      </c>
      <c r="AG98" s="75" t="str">
        <f ca="1">IFERROR(__xludf.DUMMYFUNCTION("""COMPUTED_VALUE"""),"Pass")</f>
        <v>Pass</v>
      </c>
      <c r="AH98" s="82">
        <f ca="1">IFERROR(__xludf.DUMMYFUNCTION("""COMPUTED_VALUE"""),1.78285714285714)</f>
        <v>1.78285714285714</v>
      </c>
      <c r="AI98" s="83">
        <f ca="1">IFERROR(__xludf.DUMMYFUNCTION("""COMPUTED_VALUE"""),3)</f>
        <v>3</v>
      </c>
      <c r="AJ98" s="75" t="str">
        <f ca="1">IFERROR(__xludf.DUMMYFUNCTION("""COMPUTED_VALUE"""),"Pass")</f>
        <v>Pass</v>
      </c>
      <c r="AK98" s="82">
        <f ca="1">IFERROR(__xludf.DUMMYFUNCTION("""COMPUTED_VALUE"""),1.875)</f>
        <v>1.875</v>
      </c>
      <c r="AL98" s="83">
        <f ca="1">IFERROR(__xludf.DUMMYFUNCTION("""COMPUTED_VALUE"""),3)</f>
        <v>3</v>
      </c>
      <c r="AM98" s="75" t="str">
        <f ca="1">IFERROR(__xludf.DUMMYFUNCTION("""COMPUTED_VALUE"""),"Pass")</f>
        <v>Pass</v>
      </c>
      <c r="AN98" s="82">
        <f ca="1">IFERROR(__xludf.DUMMYFUNCTION("""COMPUTED_VALUE"""),0.738461538461538)</f>
        <v>0.73846153846153795</v>
      </c>
      <c r="AO98" s="83">
        <f ca="1">IFERROR(__xludf.DUMMYFUNCTION("""COMPUTED_VALUE"""),1)</f>
        <v>1</v>
      </c>
      <c r="AP98" s="75" t="str">
        <f ca="1">IFERROR(__xludf.DUMMYFUNCTION("""COMPUTED_VALUE"""),"Station Fail")</f>
        <v>Station Fail</v>
      </c>
      <c r="AQ98" s="82"/>
      <c r="AR98" s="83"/>
      <c r="AS98" s="75"/>
      <c r="AT98" s="82"/>
      <c r="AU98" s="83"/>
      <c r="AV98" s="75"/>
      <c r="AW98" s="82"/>
      <c r="AX98" s="83"/>
      <c r="AY98" s="75"/>
      <c r="AZ98" s="82"/>
      <c r="BA98" s="83"/>
      <c r="BB98" s="75"/>
      <c r="BC98" s="82"/>
      <c r="BD98" s="83"/>
      <c r="BE98" s="75"/>
      <c r="BF98" s="82"/>
      <c r="BG98" s="83"/>
      <c r="BH98" s="75"/>
      <c r="BI98" s="46"/>
    </row>
    <row r="99" spans="1:61" ht="22.5" customHeight="1" x14ac:dyDescent="0.25">
      <c r="A99" s="46"/>
      <c r="B99" s="85"/>
      <c r="C99" s="75"/>
      <c r="D99" s="75"/>
      <c r="E99" s="75"/>
      <c r="F99" s="76"/>
      <c r="G99" s="77" t="str">
        <f ca="1">IFERROR(__xludf.DUMMYFUNCTION("""COMPUTED_VALUE"""),"")</f>
        <v/>
      </c>
      <c r="H99" s="78" t="str">
        <f ca="1">IFERROR(__xludf.DUMMYFUNCTION("""COMPUTED_VALUE"""),"")</f>
        <v/>
      </c>
      <c r="I99" s="79" t="str">
        <f ca="1">IFERROR(__xludf.DUMMYFUNCTION("""COMPUTED_VALUE"""),"")</f>
        <v/>
      </c>
      <c r="J99" s="264"/>
      <c r="K99" s="82" t="str">
        <f ca="1">IFERROR(__xludf.DUMMYFUNCTION("""COMPUTED_VALUE"""),"")</f>
        <v/>
      </c>
      <c r="L99" s="81" t="str">
        <f ca="1">IFERROR(__xludf.DUMMYFUNCTION("""COMPUTED_VALUE"""),"")</f>
        <v/>
      </c>
      <c r="M99" s="82"/>
      <c r="N99" s="83"/>
      <c r="O99" s="75" t="str">
        <f ca="1">IFERROR(__xludf.DUMMYFUNCTION("""COMPUTED_VALUE"""),"")</f>
        <v/>
      </c>
      <c r="P99" s="82"/>
      <c r="Q99" s="83"/>
      <c r="R99" s="75" t="str">
        <f ca="1">IFERROR(__xludf.DUMMYFUNCTION("""COMPUTED_VALUE"""),"")</f>
        <v/>
      </c>
      <c r="S99" s="82"/>
      <c r="T99" s="83"/>
      <c r="U99" s="75" t="str">
        <f ca="1">IFERROR(__xludf.DUMMYFUNCTION("""COMPUTED_VALUE"""),"")</f>
        <v/>
      </c>
      <c r="V99" s="82"/>
      <c r="W99" s="83"/>
      <c r="X99" s="75" t="str">
        <f ca="1">IFERROR(__xludf.DUMMYFUNCTION("""COMPUTED_VALUE"""),"")</f>
        <v/>
      </c>
      <c r="Y99" s="82"/>
      <c r="Z99" s="83"/>
      <c r="AA99" s="75" t="str">
        <f ca="1">IFERROR(__xludf.DUMMYFUNCTION("""COMPUTED_VALUE"""),"")</f>
        <v/>
      </c>
      <c r="AB99" s="82"/>
      <c r="AC99" s="83"/>
      <c r="AD99" s="75" t="str">
        <f ca="1">IFERROR(__xludf.DUMMYFUNCTION("""COMPUTED_VALUE"""),"")</f>
        <v/>
      </c>
      <c r="AE99" s="82"/>
      <c r="AF99" s="83"/>
      <c r="AG99" s="75" t="str">
        <f ca="1">IFERROR(__xludf.DUMMYFUNCTION("""COMPUTED_VALUE"""),"")</f>
        <v/>
      </c>
      <c r="AH99" s="82"/>
      <c r="AI99" s="83"/>
      <c r="AJ99" s="75" t="str">
        <f ca="1">IFERROR(__xludf.DUMMYFUNCTION("""COMPUTED_VALUE"""),"")</f>
        <v/>
      </c>
      <c r="AK99" s="82"/>
      <c r="AL99" s="83"/>
      <c r="AM99" s="75" t="str">
        <f ca="1">IFERROR(__xludf.DUMMYFUNCTION("""COMPUTED_VALUE"""),"")</f>
        <v/>
      </c>
      <c r="AN99" s="82"/>
      <c r="AO99" s="83"/>
      <c r="AP99" s="75" t="str">
        <f ca="1">IFERROR(__xludf.DUMMYFUNCTION("""COMPUTED_VALUE"""),"")</f>
        <v/>
      </c>
      <c r="AQ99" s="82"/>
      <c r="AR99" s="83"/>
      <c r="AS99" s="75" t="str">
        <f ca="1">IFERROR(__xludf.DUMMYFUNCTION("""COMPUTED_VALUE"""),"")</f>
        <v/>
      </c>
      <c r="AT99" s="82"/>
      <c r="AU99" s="83"/>
      <c r="AV99" s="75" t="str">
        <f ca="1">IFERROR(__xludf.DUMMYFUNCTION("""COMPUTED_VALUE"""),"")</f>
        <v/>
      </c>
      <c r="AW99" s="82"/>
      <c r="AX99" s="83"/>
      <c r="AY99" s="75" t="str">
        <f ca="1">IFERROR(__xludf.DUMMYFUNCTION("""COMPUTED_VALUE"""),"")</f>
        <v/>
      </c>
      <c r="AZ99" s="82"/>
      <c r="BA99" s="83"/>
      <c r="BB99" s="75" t="str">
        <f ca="1">IFERROR(__xludf.DUMMYFUNCTION("""COMPUTED_VALUE"""),"")</f>
        <v/>
      </c>
      <c r="BC99" s="82"/>
      <c r="BD99" s="83"/>
      <c r="BE99" s="75" t="str">
        <f ca="1">IFERROR(__xludf.DUMMYFUNCTION("""COMPUTED_VALUE"""),"")</f>
        <v/>
      </c>
      <c r="BF99" s="82"/>
      <c r="BG99" s="83"/>
      <c r="BH99" s="75" t="str">
        <f ca="1">IFERROR(__xludf.DUMMYFUNCTION("""COMPUTED_VALUE"""),"")</f>
        <v/>
      </c>
      <c r="BI99" s="46"/>
    </row>
    <row r="100" spans="1:61" ht="22.5" customHeight="1" x14ac:dyDescent="0.25">
      <c r="A100" s="46"/>
      <c r="B100" s="85"/>
      <c r="C100" s="75"/>
      <c r="D100" s="75"/>
      <c r="E100" s="75"/>
      <c r="F100" s="76"/>
      <c r="G100" s="77" t="str">
        <f ca="1">IFERROR(__xludf.DUMMYFUNCTION("""COMPUTED_VALUE"""),"")</f>
        <v/>
      </c>
      <c r="H100" s="78" t="str">
        <f ca="1">IFERROR(__xludf.DUMMYFUNCTION("""COMPUTED_VALUE"""),"")</f>
        <v/>
      </c>
      <c r="I100" s="79" t="str">
        <f ca="1">IFERROR(__xludf.DUMMYFUNCTION("""COMPUTED_VALUE"""),"")</f>
        <v/>
      </c>
      <c r="J100" s="264"/>
      <c r="K100" s="82" t="str">
        <f ca="1">IFERROR(__xludf.DUMMYFUNCTION("""COMPUTED_VALUE"""),"")</f>
        <v/>
      </c>
      <c r="L100" s="81" t="str">
        <f ca="1">IFERROR(__xludf.DUMMYFUNCTION("""COMPUTED_VALUE"""),"")</f>
        <v/>
      </c>
      <c r="M100" s="82"/>
      <c r="N100" s="83"/>
      <c r="O100" s="75" t="str">
        <f ca="1">IFERROR(__xludf.DUMMYFUNCTION("""COMPUTED_VALUE"""),"")</f>
        <v/>
      </c>
      <c r="P100" s="82"/>
      <c r="Q100" s="83"/>
      <c r="R100" s="75" t="str">
        <f ca="1">IFERROR(__xludf.DUMMYFUNCTION("""COMPUTED_VALUE"""),"")</f>
        <v/>
      </c>
      <c r="S100" s="82"/>
      <c r="T100" s="83"/>
      <c r="U100" s="75" t="str">
        <f ca="1">IFERROR(__xludf.DUMMYFUNCTION("""COMPUTED_VALUE"""),"")</f>
        <v/>
      </c>
      <c r="V100" s="82"/>
      <c r="W100" s="83"/>
      <c r="X100" s="75" t="str">
        <f ca="1">IFERROR(__xludf.DUMMYFUNCTION("""COMPUTED_VALUE"""),"")</f>
        <v/>
      </c>
      <c r="Y100" s="82"/>
      <c r="Z100" s="83"/>
      <c r="AA100" s="75" t="str">
        <f ca="1">IFERROR(__xludf.DUMMYFUNCTION("""COMPUTED_VALUE"""),"")</f>
        <v/>
      </c>
      <c r="AB100" s="82"/>
      <c r="AC100" s="83"/>
      <c r="AD100" s="75" t="str">
        <f ca="1">IFERROR(__xludf.DUMMYFUNCTION("""COMPUTED_VALUE"""),"")</f>
        <v/>
      </c>
      <c r="AE100" s="82"/>
      <c r="AF100" s="83"/>
      <c r="AG100" s="75" t="str">
        <f ca="1">IFERROR(__xludf.DUMMYFUNCTION("""COMPUTED_VALUE"""),"")</f>
        <v/>
      </c>
      <c r="AH100" s="82"/>
      <c r="AI100" s="83"/>
      <c r="AJ100" s="75" t="str">
        <f ca="1">IFERROR(__xludf.DUMMYFUNCTION("""COMPUTED_VALUE"""),"")</f>
        <v/>
      </c>
      <c r="AK100" s="82"/>
      <c r="AL100" s="83"/>
      <c r="AM100" s="75" t="str">
        <f ca="1">IFERROR(__xludf.DUMMYFUNCTION("""COMPUTED_VALUE"""),"")</f>
        <v/>
      </c>
      <c r="AN100" s="82"/>
      <c r="AO100" s="83"/>
      <c r="AP100" s="75" t="str">
        <f ca="1">IFERROR(__xludf.DUMMYFUNCTION("""COMPUTED_VALUE"""),"")</f>
        <v/>
      </c>
      <c r="AQ100" s="82"/>
      <c r="AR100" s="83"/>
      <c r="AS100" s="75" t="str">
        <f ca="1">IFERROR(__xludf.DUMMYFUNCTION("""COMPUTED_VALUE"""),"")</f>
        <v/>
      </c>
      <c r="AT100" s="82"/>
      <c r="AU100" s="83"/>
      <c r="AV100" s="75" t="str">
        <f ca="1">IFERROR(__xludf.DUMMYFUNCTION("""COMPUTED_VALUE"""),"")</f>
        <v/>
      </c>
      <c r="AW100" s="82"/>
      <c r="AX100" s="83"/>
      <c r="AY100" s="75" t="str">
        <f ca="1">IFERROR(__xludf.DUMMYFUNCTION("""COMPUTED_VALUE"""),"")</f>
        <v/>
      </c>
      <c r="AZ100" s="82"/>
      <c r="BA100" s="83"/>
      <c r="BB100" s="75" t="str">
        <f ca="1">IFERROR(__xludf.DUMMYFUNCTION("""COMPUTED_VALUE"""),"")</f>
        <v/>
      </c>
      <c r="BC100" s="82"/>
      <c r="BD100" s="83"/>
      <c r="BE100" s="75" t="str">
        <f ca="1">IFERROR(__xludf.DUMMYFUNCTION("""COMPUTED_VALUE"""),"")</f>
        <v/>
      </c>
      <c r="BF100" s="82"/>
      <c r="BG100" s="83"/>
      <c r="BH100" s="75" t="str">
        <f ca="1">IFERROR(__xludf.DUMMYFUNCTION("""COMPUTED_VALUE"""),"")</f>
        <v/>
      </c>
      <c r="BI100" s="46"/>
    </row>
    <row r="101" spans="1:61" ht="22.5" customHeight="1" x14ac:dyDescent="0.25">
      <c r="A101" s="46"/>
      <c r="B101" s="85"/>
      <c r="C101" s="75"/>
      <c r="D101" s="75"/>
      <c r="E101" s="75"/>
      <c r="F101" s="76"/>
      <c r="G101" s="77" t="str">
        <f ca="1">IFERROR(__xludf.DUMMYFUNCTION("""COMPUTED_VALUE"""),"")</f>
        <v/>
      </c>
      <c r="H101" s="78" t="str">
        <f ca="1">IFERROR(__xludf.DUMMYFUNCTION("""COMPUTED_VALUE"""),"")</f>
        <v/>
      </c>
      <c r="I101" s="79" t="str">
        <f ca="1">IFERROR(__xludf.DUMMYFUNCTION("""COMPUTED_VALUE"""),"")</f>
        <v/>
      </c>
      <c r="J101" s="264"/>
      <c r="K101" s="82" t="str">
        <f ca="1">IFERROR(__xludf.DUMMYFUNCTION("""COMPUTED_VALUE"""),"")</f>
        <v/>
      </c>
      <c r="L101" s="81" t="str">
        <f ca="1">IFERROR(__xludf.DUMMYFUNCTION("""COMPUTED_VALUE"""),"")</f>
        <v/>
      </c>
      <c r="M101" s="82"/>
      <c r="N101" s="83"/>
      <c r="O101" s="75" t="str">
        <f ca="1">IFERROR(__xludf.DUMMYFUNCTION("""COMPUTED_VALUE"""),"")</f>
        <v/>
      </c>
      <c r="P101" s="82"/>
      <c r="Q101" s="83"/>
      <c r="R101" s="75" t="str">
        <f ca="1">IFERROR(__xludf.DUMMYFUNCTION("""COMPUTED_VALUE"""),"")</f>
        <v/>
      </c>
      <c r="S101" s="82"/>
      <c r="T101" s="83"/>
      <c r="U101" s="75" t="str">
        <f ca="1">IFERROR(__xludf.DUMMYFUNCTION("""COMPUTED_VALUE"""),"")</f>
        <v/>
      </c>
      <c r="V101" s="82"/>
      <c r="W101" s="83"/>
      <c r="X101" s="75" t="str">
        <f ca="1">IFERROR(__xludf.DUMMYFUNCTION("""COMPUTED_VALUE"""),"")</f>
        <v/>
      </c>
      <c r="Y101" s="82"/>
      <c r="Z101" s="83"/>
      <c r="AA101" s="75" t="str">
        <f ca="1">IFERROR(__xludf.DUMMYFUNCTION("""COMPUTED_VALUE"""),"")</f>
        <v/>
      </c>
      <c r="AB101" s="82"/>
      <c r="AC101" s="83"/>
      <c r="AD101" s="75" t="str">
        <f ca="1">IFERROR(__xludf.DUMMYFUNCTION("""COMPUTED_VALUE"""),"")</f>
        <v/>
      </c>
      <c r="AE101" s="82"/>
      <c r="AF101" s="83"/>
      <c r="AG101" s="75" t="str">
        <f ca="1">IFERROR(__xludf.DUMMYFUNCTION("""COMPUTED_VALUE"""),"")</f>
        <v/>
      </c>
      <c r="AH101" s="82"/>
      <c r="AI101" s="83"/>
      <c r="AJ101" s="75" t="str">
        <f ca="1">IFERROR(__xludf.DUMMYFUNCTION("""COMPUTED_VALUE"""),"")</f>
        <v/>
      </c>
      <c r="AK101" s="82"/>
      <c r="AL101" s="83"/>
      <c r="AM101" s="75" t="str">
        <f ca="1">IFERROR(__xludf.DUMMYFUNCTION("""COMPUTED_VALUE"""),"")</f>
        <v/>
      </c>
      <c r="AN101" s="82"/>
      <c r="AO101" s="83"/>
      <c r="AP101" s="75" t="str">
        <f ca="1">IFERROR(__xludf.DUMMYFUNCTION("""COMPUTED_VALUE"""),"")</f>
        <v/>
      </c>
      <c r="AQ101" s="82"/>
      <c r="AR101" s="83"/>
      <c r="AS101" s="75" t="str">
        <f ca="1">IFERROR(__xludf.DUMMYFUNCTION("""COMPUTED_VALUE"""),"")</f>
        <v/>
      </c>
      <c r="AT101" s="82"/>
      <c r="AU101" s="83"/>
      <c r="AV101" s="75" t="str">
        <f ca="1">IFERROR(__xludf.DUMMYFUNCTION("""COMPUTED_VALUE"""),"")</f>
        <v/>
      </c>
      <c r="AW101" s="82"/>
      <c r="AX101" s="83"/>
      <c r="AY101" s="75" t="str">
        <f ca="1">IFERROR(__xludf.DUMMYFUNCTION("""COMPUTED_VALUE"""),"")</f>
        <v/>
      </c>
      <c r="AZ101" s="82"/>
      <c r="BA101" s="83"/>
      <c r="BB101" s="75" t="str">
        <f ca="1">IFERROR(__xludf.DUMMYFUNCTION("""COMPUTED_VALUE"""),"")</f>
        <v/>
      </c>
      <c r="BC101" s="82"/>
      <c r="BD101" s="83"/>
      <c r="BE101" s="75" t="str">
        <f ca="1">IFERROR(__xludf.DUMMYFUNCTION("""COMPUTED_VALUE"""),"")</f>
        <v/>
      </c>
      <c r="BF101" s="82"/>
      <c r="BG101" s="83"/>
      <c r="BH101" s="75" t="str">
        <f ca="1">IFERROR(__xludf.DUMMYFUNCTION("""COMPUTED_VALUE"""),"")</f>
        <v/>
      </c>
      <c r="BI101" s="46"/>
    </row>
    <row r="102" spans="1:61" ht="22.5" customHeight="1" x14ac:dyDescent="0.25">
      <c r="A102" s="46"/>
      <c r="B102" s="85"/>
      <c r="C102" s="75"/>
      <c r="D102" s="75"/>
      <c r="E102" s="75"/>
      <c r="F102" s="76"/>
      <c r="G102" s="77" t="str">
        <f ca="1">IFERROR(__xludf.DUMMYFUNCTION("""COMPUTED_VALUE"""),"")</f>
        <v/>
      </c>
      <c r="H102" s="78" t="str">
        <f ca="1">IFERROR(__xludf.DUMMYFUNCTION("""COMPUTED_VALUE"""),"")</f>
        <v/>
      </c>
      <c r="I102" s="79" t="str">
        <f ca="1">IFERROR(__xludf.DUMMYFUNCTION("""COMPUTED_VALUE"""),"")</f>
        <v/>
      </c>
      <c r="J102" s="264"/>
      <c r="K102" s="82" t="str">
        <f ca="1">IFERROR(__xludf.DUMMYFUNCTION("""COMPUTED_VALUE"""),"")</f>
        <v/>
      </c>
      <c r="L102" s="81" t="str">
        <f ca="1">IFERROR(__xludf.DUMMYFUNCTION("""COMPUTED_VALUE"""),"")</f>
        <v/>
      </c>
      <c r="M102" s="82"/>
      <c r="N102" s="83"/>
      <c r="O102" s="75" t="str">
        <f ca="1">IFERROR(__xludf.DUMMYFUNCTION("""COMPUTED_VALUE"""),"")</f>
        <v/>
      </c>
      <c r="P102" s="82"/>
      <c r="Q102" s="83"/>
      <c r="R102" s="75" t="str">
        <f ca="1">IFERROR(__xludf.DUMMYFUNCTION("""COMPUTED_VALUE"""),"")</f>
        <v/>
      </c>
      <c r="S102" s="82"/>
      <c r="T102" s="83"/>
      <c r="U102" s="75" t="str">
        <f ca="1">IFERROR(__xludf.DUMMYFUNCTION("""COMPUTED_VALUE"""),"")</f>
        <v/>
      </c>
      <c r="V102" s="82"/>
      <c r="W102" s="83"/>
      <c r="X102" s="75" t="str">
        <f ca="1">IFERROR(__xludf.DUMMYFUNCTION("""COMPUTED_VALUE"""),"")</f>
        <v/>
      </c>
      <c r="Y102" s="82"/>
      <c r="Z102" s="83"/>
      <c r="AA102" s="75" t="str">
        <f ca="1">IFERROR(__xludf.DUMMYFUNCTION("""COMPUTED_VALUE"""),"")</f>
        <v/>
      </c>
      <c r="AB102" s="82"/>
      <c r="AC102" s="83"/>
      <c r="AD102" s="75" t="str">
        <f ca="1">IFERROR(__xludf.DUMMYFUNCTION("""COMPUTED_VALUE"""),"")</f>
        <v/>
      </c>
      <c r="AE102" s="82"/>
      <c r="AF102" s="83"/>
      <c r="AG102" s="75" t="str">
        <f ca="1">IFERROR(__xludf.DUMMYFUNCTION("""COMPUTED_VALUE"""),"")</f>
        <v/>
      </c>
      <c r="AH102" s="82"/>
      <c r="AI102" s="83"/>
      <c r="AJ102" s="75" t="str">
        <f ca="1">IFERROR(__xludf.DUMMYFUNCTION("""COMPUTED_VALUE"""),"")</f>
        <v/>
      </c>
      <c r="AK102" s="82"/>
      <c r="AL102" s="83"/>
      <c r="AM102" s="75" t="str">
        <f ca="1">IFERROR(__xludf.DUMMYFUNCTION("""COMPUTED_VALUE"""),"")</f>
        <v/>
      </c>
      <c r="AN102" s="82"/>
      <c r="AO102" s="83"/>
      <c r="AP102" s="75" t="str">
        <f ca="1">IFERROR(__xludf.DUMMYFUNCTION("""COMPUTED_VALUE"""),"")</f>
        <v/>
      </c>
      <c r="AQ102" s="82"/>
      <c r="AR102" s="83"/>
      <c r="AS102" s="75" t="str">
        <f ca="1">IFERROR(__xludf.DUMMYFUNCTION("""COMPUTED_VALUE"""),"")</f>
        <v/>
      </c>
      <c r="AT102" s="82"/>
      <c r="AU102" s="83"/>
      <c r="AV102" s="75" t="str">
        <f ca="1">IFERROR(__xludf.DUMMYFUNCTION("""COMPUTED_VALUE"""),"")</f>
        <v/>
      </c>
      <c r="AW102" s="82"/>
      <c r="AX102" s="83"/>
      <c r="AY102" s="75" t="str">
        <f ca="1">IFERROR(__xludf.DUMMYFUNCTION("""COMPUTED_VALUE"""),"")</f>
        <v/>
      </c>
      <c r="AZ102" s="82"/>
      <c r="BA102" s="83"/>
      <c r="BB102" s="75" t="str">
        <f ca="1">IFERROR(__xludf.DUMMYFUNCTION("""COMPUTED_VALUE"""),"")</f>
        <v/>
      </c>
      <c r="BC102" s="82"/>
      <c r="BD102" s="83"/>
      <c r="BE102" s="75" t="str">
        <f ca="1">IFERROR(__xludf.DUMMYFUNCTION("""COMPUTED_VALUE"""),"")</f>
        <v/>
      </c>
      <c r="BF102" s="82"/>
      <c r="BG102" s="83"/>
      <c r="BH102" s="75" t="str">
        <f ca="1">IFERROR(__xludf.DUMMYFUNCTION("""COMPUTED_VALUE"""),"")</f>
        <v/>
      </c>
      <c r="BI102" s="46"/>
    </row>
    <row r="103" spans="1:61" ht="22.5" customHeight="1" x14ac:dyDescent="0.25">
      <c r="A103" s="46"/>
      <c r="B103" s="85"/>
      <c r="C103" s="75"/>
      <c r="D103" s="75"/>
      <c r="E103" s="75"/>
      <c r="F103" s="76"/>
      <c r="G103" s="77" t="str">
        <f ca="1">IFERROR(__xludf.DUMMYFUNCTION("""COMPUTED_VALUE"""),"")</f>
        <v/>
      </c>
      <c r="H103" s="78" t="str">
        <f ca="1">IFERROR(__xludf.DUMMYFUNCTION("""COMPUTED_VALUE"""),"")</f>
        <v/>
      </c>
      <c r="I103" s="79" t="str">
        <f ca="1">IFERROR(__xludf.DUMMYFUNCTION("""COMPUTED_VALUE"""),"")</f>
        <v/>
      </c>
      <c r="J103" s="264"/>
      <c r="K103" s="82" t="str">
        <f ca="1">IFERROR(__xludf.DUMMYFUNCTION("""COMPUTED_VALUE"""),"")</f>
        <v/>
      </c>
      <c r="L103" s="81" t="str">
        <f ca="1">IFERROR(__xludf.DUMMYFUNCTION("""COMPUTED_VALUE"""),"")</f>
        <v/>
      </c>
      <c r="M103" s="82"/>
      <c r="N103" s="83"/>
      <c r="O103" s="75" t="str">
        <f ca="1">IFERROR(__xludf.DUMMYFUNCTION("""COMPUTED_VALUE"""),"")</f>
        <v/>
      </c>
      <c r="P103" s="82"/>
      <c r="Q103" s="83"/>
      <c r="R103" s="75" t="str">
        <f ca="1">IFERROR(__xludf.DUMMYFUNCTION("""COMPUTED_VALUE"""),"")</f>
        <v/>
      </c>
      <c r="S103" s="82"/>
      <c r="T103" s="83"/>
      <c r="U103" s="75" t="str">
        <f ca="1">IFERROR(__xludf.DUMMYFUNCTION("""COMPUTED_VALUE"""),"")</f>
        <v/>
      </c>
      <c r="V103" s="82"/>
      <c r="W103" s="83"/>
      <c r="X103" s="75" t="str">
        <f ca="1">IFERROR(__xludf.DUMMYFUNCTION("""COMPUTED_VALUE"""),"")</f>
        <v/>
      </c>
      <c r="Y103" s="82"/>
      <c r="Z103" s="83"/>
      <c r="AA103" s="75" t="str">
        <f ca="1">IFERROR(__xludf.DUMMYFUNCTION("""COMPUTED_VALUE"""),"")</f>
        <v/>
      </c>
      <c r="AB103" s="82"/>
      <c r="AC103" s="83"/>
      <c r="AD103" s="75" t="str">
        <f ca="1">IFERROR(__xludf.DUMMYFUNCTION("""COMPUTED_VALUE"""),"")</f>
        <v/>
      </c>
      <c r="AE103" s="82"/>
      <c r="AF103" s="83"/>
      <c r="AG103" s="75" t="str">
        <f ca="1">IFERROR(__xludf.DUMMYFUNCTION("""COMPUTED_VALUE"""),"")</f>
        <v/>
      </c>
      <c r="AH103" s="82"/>
      <c r="AI103" s="83"/>
      <c r="AJ103" s="75" t="str">
        <f ca="1">IFERROR(__xludf.DUMMYFUNCTION("""COMPUTED_VALUE"""),"")</f>
        <v/>
      </c>
      <c r="AK103" s="82"/>
      <c r="AL103" s="83"/>
      <c r="AM103" s="75" t="str">
        <f ca="1">IFERROR(__xludf.DUMMYFUNCTION("""COMPUTED_VALUE"""),"")</f>
        <v/>
      </c>
      <c r="AN103" s="82"/>
      <c r="AO103" s="83"/>
      <c r="AP103" s="75" t="str">
        <f ca="1">IFERROR(__xludf.DUMMYFUNCTION("""COMPUTED_VALUE"""),"")</f>
        <v/>
      </c>
      <c r="AQ103" s="82"/>
      <c r="AR103" s="83"/>
      <c r="AS103" s="75" t="str">
        <f ca="1">IFERROR(__xludf.DUMMYFUNCTION("""COMPUTED_VALUE"""),"")</f>
        <v/>
      </c>
      <c r="AT103" s="82"/>
      <c r="AU103" s="83"/>
      <c r="AV103" s="75" t="str">
        <f ca="1">IFERROR(__xludf.DUMMYFUNCTION("""COMPUTED_VALUE"""),"")</f>
        <v/>
      </c>
      <c r="AW103" s="82"/>
      <c r="AX103" s="83"/>
      <c r="AY103" s="75" t="str">
        <f ca="1">IFERROR(__xludf.DUMMYFUNCTION("""COMPUTED_VALUE"""),"")</f>
        <v/>
      </c>
      <c r="AZ103" s="82"/>
      <c r="BA103" s="83"/>
      <c r="BB103" s="75" t="str">
        <f ca="1">IFERROR(__xludf.DUMMYFUNCTION("""COMPUTED_VALUE"""),"")</f>
        <v/>
      </c>
      <c r="BC103" s="82"/>
      <c r="BD103" s="83"/>
      <c r="BE103" s="75" t="str">
        <f ca="1">IFERROR(__xludf.DUMMYFUNCTION("""COMPUTED_VALUE"""),"")</f>
        <v/>
      </c>
      <c r="BF103" s="82"/>
      <c r="BG103" s="83"/>
      <c r="BH103" s="75" t="str">
        <f ca="1">IFERROR(__xludf.DUMMYFUNCTION("""COMPUTED_VALUE"""),"")</f>
        <v/>
      </c>
      <c r="BI103" s="46"/>
    </row>
    <row r="104" spans="1:61" ht="22.5" customHeight="1" x14ac:dyDescent="0.25">
      <c r="A104" s="46"/>
      <c r="B104" s="85"/>
      <c r="C104" s="75"/>
      <c r="D104" s="75"/>
      <c r="E104" s="75"/>
      <c r="F104" s="76"/>
      <c r="G104" s="77" t="str">
        <f ca="1">IFERROR(__xludf.DUMMYFUNCTION("""COMPUTED_VALUE"""),"")</f>
        <v/>
      </c>
      <c r="H104" s="78" t="str">
        <f ca="1">IFERROR(__xludf.DUMMYFUNCTION("""COMPUTED_VALUE"""),"")</f>
        <v/>
      </c>
      <c r="I104" s="79" t="str">
        <f ca="1">IFERROR(__xludf.DUMMYFUNCTION("""COMPUTED_VALUE"""),"")</f>
        <v/>
      </c>
      <c r="J104" s="264"/>
      <c r="K104" s="82" t="str">
        <f ca="1">IFERROR(__xludf.DUMMYFUNCTION("""COMPUTED_VALUE"""),"")</f>
        <v/>
      </c>
      <c r="L104" s="81" t="str">
        <f ca="1">IFERROR(__xludf.DUMMYFUNCTION("""COMPUTED_VALUE"""),"")</f>
        <v/>
      </c>
      <c r="M104" s="82"/>
      <c r="N104" s="83"/>
      <c r="O104" s="75" t="str">
        <f ca="1">IFERROR(__xludf.DUMMYFUNCTION("""COMPUTED_VALUE"""),"")</f>
        <v/>
      </c>
      <c r="P104" s="82"/>
      <c r="Q104" s="83"/>
      <c r="R104" s="75" t="str">
        <f ca="1">IFERROR(__xludf.DUMMYFUNCTION("""COMPUTED_VALUE"""),"")</f>
        <v/>
      </c>
      <c r="S104" s="82"/>
      <c r="T104" s="83"/>
      <c r="U104" s="75" t="str">
        <f ca="1">IFERROR(__xludf.DUMMYFUNCTION("""COMPUTED_VALUE"""),"")</f>
        <v/>
      </c>
      <c r="V104" s="82"/>
      <c r="W104" s="83"/>
      <c r="X104" s="75" t="str">
        <f ca="1">IFERROR(__xludf.DUMMYFUNCTION("""COMPUTED_VALUE"""),"")</f>
        <v/>
      </c>
      <c r="Y104" s="82"/>
      <c r="Z104" s="83"/>
      <c r="AA104" s="75" t="str">
        <f ca="1">IFERROR(__xludf.DUMMYFUNCTION("""COMPUTED_VALUE"""),"")</f>
        <v/>
      </c>
      <c r="AB104" s="82"/>
      <c r="AC104" s="83"/>
      <c r="AD104" s="75" t="str">
        <f ca="1">IFERROR(__xludf.DUMMYFUNCTION("""COMPUTED_VALUE"""),"")</f>
        <v/>
      </c>
      <c r="AE104" s="82"/>
      <c r="AF104" s="83"/>
      <c r="AG104" s="75" t="str">
        <f ca="1">IFERROR(__xludf.DUMMYFUNCTION("""COMPUTED_VALUE"""),"")</f>
        <v/>
      </c>
      <c r="AH104" s="82"/>
      <c r="AI104" s="83"/>
      <c r="AJ104" s="75" t="str">
        <f ca="1">IFERROR(__xludf.DUMMYFUNCTION("""COMPUTED_VALUE"""),"")</f>
        <v/>
      </c>
      <c r="AK104" s="82"/>
      <c r="AL104" s="83"/>
      <c r="AM104" s="75" t="str">
        <f ca="1">IFERROR(__xludf.DUMMYFUNCTION("""COMPUTED_VALUE"""),"")</f>
        <v/>
      </c>
      <c r="AN104" s="82"/>
      <c r="AO104" s="83"/>
      <c r="AP104" s="75" t="str">
        <f ca="1">IFERROR(__xludf.DUMMYFUNCTION("""COMPUTED_VALUE"""),"")</f>
        <v/>
      </c>
      <c r="AQ104" s="82"/>
      <c r="AR104" s="83"/>
      <c r="AS104" s="75" t="str">
        <f ca="1">IFERROR(__xludf.DUMMYFUNCTION("""COMPUTED_VALUE"""),"")</f>
        <v/>
      </c>
      <c r="AT104" s="82"/>
      <c r="AU104" s="83"/>
      <c r="AV104" s="75" t="str">
        <f ca="1">IFERROR(__xludf.DUMMYFUNCTION("""COMPUTED_VALUE"""),"")</f>
        <v/>
      </c>
      <c r="AW104" s="82"/>
      <c r="AX104" s="83"/>
      <c r="AY104" s="75" t="str">
        <f ca="1">IFERROR(__xludf.DUMMYFUNCTION("""COMPUTED_VALUE"""),"")</f>
        <v/>
      </c>
      <c r="AZ104" s="82"/>
      <c r="BA104" s="83"/>
      <c r="BB104" s="75" t="str">
        <f ca="1">IFERROR(__xludf.DUMMYFUNCTION("""COMPUTED_VALUE"""),"")</f>
        <v/>
      </c>
      <c r="BC104" s="82"/>
      <c r="BD104" s="83"/>
      <c r="BE104" s="75" t="str">
        <f ca="1">IFERROR(__xludf.DUMMYFUNCTION("""COMPUTED_VALUE"""),"")</f>
        <v/>
      </c>
      <c r="BF104" s="82"/>
      <c r="BG104" s="83"/>
      <c r="BH104" s="75" t="str">
        <f ca="1">IFERROR(__xludf.DUMMYFUNCTION("""COMPUTED_VALUE"""),"")</f>
        <v/>
      </c>
      <c r="BI104" s="46"/>
    </row>
    <row r="105" spans="1:61" ht="22.5" customHeight="1" x14ac:dyDescent="0.25">
      <c r="A105" s="46"/>
      <c r="B105" s="85"/>
      <c r="C105" s="75"/>
      <c r="D105" s="75"/>
      <c r="E105" s="75"/>
      <c r="F105" s="76"/>
      <c r="G105" s="77" t="str">
        <f ca="1">IFERROR(__xludf.DUMMYFUNCTION("""COMPUTED_VALUE"""),"")</f>
        <v/>
      </c>
      <c r="H105" s="78" t="str">
        <f ca="1">IFERROR(__xludf.DUMMYFUNCTION("""COMPUTED_VALUE"""),"")</f>
        <v/>
      </c>
      <c r="I105" s="79" t="str">
        <f ca="1">IFERROR(__xludf.DUMMYFUNCTION("""COMPUTED_VALUE"""),"")</f>
        <v/>
      </c>
      <c r="J105" s="264"/>
      <c r="K105" s="82" t="str">
        <f ca="1">IFERROR(__xludf.DUMMYFUNCTION("""COMPUTED_VALUE"""),"")</f>
        <v/>
      </c>
      <c r="L105" s="81" t="str">
        <f ca="1">IFERROR(__xludf.DUMMYFUNCTION("""COMPUTED_VALUE"""),"")</f>
        <v/>
      </c>
      <c r="M105" s="82"/>
      <c r="N105" s="83"/>
      <c r="O105" s="75" t="str">
        <f ca="1">IFERROR(__xludf.DUMMYFUNCTION("""COMPUTED_VALUE"""),"")</f>
        <v/>
      </c>
      <c r="P105" s="82"/>
      <c r="Q105" s="83"/>
      <c r="R105" s="75" t="str">
        <f ca="1">IFERROR(__xludf.DUMMYFUNCTION("""COMPUTED_VALUE"""),"")</f>
        <v/>
      </c>
      <c r="S105" s="82"/>
      <c r="T105" s="83"/>
      <c r="U105" s="75" t="str">
        <f ca="1">IFERROR(__xludf.DUMMYFUNCTION("""COMPUTED_VALUE"""),"")</f>
        <v/>
      </c>
      <c r="V105" s="82"/>
      <c r="W105" s="83"/>
      <c r="X105" s="75" t="str">
        <f ca="1">IFERROR(__xludf.DUMMYFUNCTION("""COMPUTED_VALUE"""),"")</f>
        <v/>
      </c>
      <c r="Y105" s="82"/>
      <c r="Z105" s="83"/>
      <c r="AA105" s="75" t="str">
        <f ca="1">IFERROR(__xludf.DUMMYFUNCTION("""COMPUTED_VALUE"""),"")</f>
        <v/>
      </c>
      <c r="AB105" s="82"/>
      <c r="AC105" s="83"/>
      <c r="AD105" s="75" t="str">
        <f ca="1">IFERROR(__xludf.DUMMYFUNCTION("""COMPUTED_VALUE"""),"")</f>
        <v/>
      </c>
      <c r="AE105" s="82"/>
      <c r="AF105" s="83"/>
      <c r="AG105" s="75" t="str">
        <f ca="1">IFERROR(__xludf.DUMMYFUNCTION("""COMPUTED_VALUE"""),"")</f>
        <v/>
      </c>
      <c r="AH105" s="82"/>
      <c r="AI105" s="83"/>
      <c r="AJ105" s="75" t="str">
        <f ca="1">IFERROR(__xludf.DUMMYFUNCTION("""COMPUTED_VALUE"""),"")</f>
        <v/>
      </c>
      <c r="AK105" s="82"/>
      <c r="AL105" s="83"/>
      <c r="AM105" s="75" t="str">
        <f ca="1">IFERROR(__xludf.DUMMYFUNCTION("""COMPUTED_VALUE"""),"")</f>
        <v/>
      </c>
      <c r="AN105" s="82"/>
      <c r="AO105" s="83"/>
      <c r="AP105" s="75" t="str">
        <f ca="1">IFERROR(__xludf.DUMMYFUNCTION("""COMPUTED_VALUE"""),"")</f>
        <v/>
      </c>
      <c r="AQ105" s="82"/>
      <c r="AR105" s="83"/>
      <c r="AS105" s="75" t="str">
        <f ca="1">IFERROR(__xludf.DUMMYFUNCTION("""COMPUTED_VALUE"""),"")</f>
        <v/>
      </c>
      <c r="AT105" s="82"/>
      <c r="AU105" s="83"/>
      <c r="AV105" s="75" t="str">
        <f ca="1">IFERROR(__xludf.DUMMYFUNCTION("""COMPUTED_VALUE"""),"")</f>
        <v/>
      </c>
      <c r="AW105" s="82"/>
      <c r="AX105" s="83"/>
      <c r="AY105" s="75" t="str">
        <f ca="1">IFERROR(__xludf.DUMMYFUNCTION("""COMPUTED_VALUE"""),"")</f>
        <v/>
      </c>
      <c r="AZ105" s="82"/>
      <c r="BA105" s="83"/>
      <c r="BB105" s="75" t="str">
        <f ca="1">IFERROR(__xludf.DUMMYFUNCTION("""COMPUTED_VALUE"""),"")</f>
        <v/>
      </c>
      <c r="BC105" s="82"/>
      <c r="BD105" s="83"/>
      <c r="BE105" s="75" t="str">
        <f ca="1">IFERROR(__xludf.DUMMYFUNCTION("""COMPUTED_VALUE"""),"")</f>
        <v/>
      </c>
      <c r="BF105" s="82"/>
      <c r="BG105" s="83"/>
      <c r="BH105" s="75" t="str">
        <f ca="1">IFERROR(__xludf.DUMMYFUNCTION("""COMPUTED_VALUE"""),"")</f>
        <v/>
      </c>
      <c r="BI105" s="46"/>
    </row>
    <row r="106" spans="1:61" ht="22.5" customHeight="1" x14ac:dyDescent="0.25">
      <c r="A106" s="46"/>
      <c r="B106" s="85"/>
      <c r="C106" s="75"/>
      <c r="D106" s="75"/>
      <c r="E106" s="75"/>
      <c r="F106" s="76"/>
      <c r="G106" s="77" t="str">
        <f ca="1">IFERROR(__xludf.DUMMYFUNCTION("""COMPUTED_VALUE"""),"")</f>
        <v/>
      </c>
      <c r="H106" s="78" t="str">
        <f ca="1">IFERROR(__xludf.DUMMYFUNCTION("""COMPUTED_VALUE"""),"")</f>
        <v/>
      </c>
      <c r="I106" s="79" t="str">
        <f ca="1">IFERROR(__xludf.DUMMYFUNCTION("""COMPUTED_VALUE"""),"")</f>
        <v/>
      </c>
      <c r="J106" s="264"/>
      <c r="K106" s="82" t="str">
        <f ca="1">IFERROR(__xludf.DUMMYFUNCTION("""COMPUTED_VALUE"""),"")</f>
        <v/>
      </c>
      <c r="L106" s="81" t="str">
        <f ca="1">IFERROR(__xludf.DUMMYFUNCTION("""COMPUTED_VALUE"""),"")</f>
        <v/>
      </c>
      <c r="M106" s="82"/>
      <c r="N106" s="83"/>
      <c r="O106" s="75" t="str">
        <f ca="1">IFERROR(__xludf.DUMMYFUNCTION("""COMPUTED_VALUE"""),"")</f>
        <v/>
      </c>
      <c r="P106" s="82"/>
      <c r="Q106" s="83"/>
      <c r="R106" s="75" t="str">
        <f ca="1">IFERROR(__xludf.DUMMYFUNCTION("""COMPUTED_VALUE"""),"")</f>
        <v/>
      </c>
      <c r="S106" s="82"/>
      <c r="T106" s="83"/>
      <c r="U106" s="75" t="str">
        <f ca="1">IFERROR(__xludf.DUMMYFUNCTION("""COMPUTED_VALUE"""),"")</f>
        <v/>
      </c>
      <c r="V106" s="82"/>
      <c r="W106" s="83"/>
      <c r="X106" s="75" t="str">
        <f ca="1">IFERROR(__xludf.DUMMYFUNCTION("""COMPUTED_VALUE"""),"")</f>
        <v/>
      </c>
      <c r="Y106" s="82"/>
      <c r="Z106" s="83"/>
      <c r="AA106" s="75" t="str">
        <f ca="1">IFERROR(__xludf.DUMMYFUNCTION("""COMPUTED_VALUE"""),"")</f>
        <v/>
      </c>
      <c r="AB106" s="82"/>
      <c r="AC106" s="83"/>
      <c r="AD106" s="75" t="str">
        <f ca="1">IFERROR(__xludf.DUMMYFUNCTION("""COMPUTED_VALUE"""),"")</f>
        <v/>
      </c>
      <c r="AE106" s="82"/>
      <c r="AF106" s="83"/>
      <c r="AG106" s="75" t="str">
        <f ca="1">IFERROR(__xludf.DUMMYFUNCTION("""COMPUTED_VALUE"""),"")</f>
        <v/>
      </c>
      <c r="AH106" s="82"/>
      <c r="AI106" s="83"/>
      <c r="AJ106" s="75" t="str">
        <f ca="1">IFERROR(__xludf.DUMMYFUNCTION("""COMPUTED_VALUE"""),"")</f>
        <v/>
      </c>
      <c r="AK106" s="82"/>
      <c r="AL106" s="83"/>
      <c r="AM106" s="75" t="str">
        <f ca="1">IFERROR(__xludf.DUMMYFUNCTION("""COMPUTED_VALUE"""),"")</f>
        <v/>
      </c>
      <c r="AN106" s="82"/>
      <c r="AO106" s="83"/>
      <c r="AP106" s="75" t="str">
        <f ca="1">IFERROR(__xludf.DUMMYFUNCTION("""COMPUTED_VALUE"""),"")</f>
        <v/>
      </c>
      <c r="AQ106" s="82"/>
      <c r="AR106" s="83"/>
      <c r="AS106" s="75" t="str">
        <f ca="1">IFERROR(__xludf.DUMMYFUNCTION("""COMPUTED_VALUE"""),"")</f>
        <v/>
      </c>
      <c r="AT106" s="82"/>
      <c r="AU106" s="83"/>
      <c r="AV106" s="75" t="str">
        <f ca="1">IFERROR(__xludf.DUMMYFUNCTION("""COMPUTED_VALUE"""),"")</f>
        <v/>
      </c>
      <c r="AW106" s="82"/>
      <c r="AX106" s="83"/>
      <c r="AY106" s="75" t="str">
        <f ca="1">IFERROR(__xludf.DUMMYFUNCTION("""COMPUTED_VALUE"""),"")</f>
        <v/>
      </c>
      <c r="AZ106" s="82"/>
      <c r="BA106" s="83"/>
      <c r="BB106" s="75" t="str">
        <f ca="1">IFERROR(__xludf.DUMMYFUNCTION("""COMPUTED_VALUE"""),"")</f>
        <v/>
      </c>
      <c r="BC106" s="82"/>
      <c r="BD106" s="83"/>
      <c r="BE106" s="75" t="str">
        <f ca="1">IFERROR(__xludf.DUMMYFUNCTION("""COMPUTED_VALUE"""),"")</f>
        <v/>
      </c>
      <c r="BF106" s="82"/>
      <c r="BG106" s="83"/>
      <c r="BH106" s="75" t="str">
        <f ca="1">IFERROR(__xludf.DUMMYFUNCTION("""COMPUTED_VALUE"""),"")</f>
        <v/>
      </c>
      <c r="BI106" s="46"/>
    </row>
    <row r="107" spans="1:61" ht="22.5" customHeight="1" x14ac:dyDescent="0.25">
      <c r="A107" s="46"/>
      <c r="B107" s="85"/>
      <c r="C107" s="75"/>
      <c r="D107" s="75"/>
      <c r="E107" s="75"/>
      <c r="F107" s="76"/>
      <c r="G107" s="77" t="str">
        <f ca="1">IFERROR(__xludf.DUMMYFUNCTION("""COMPUTED_VALUE"""),"")</f>
        <v/>
      </c>
      <c r="H107" s="78" t="str">
        <f ca="1">IFERROR(__xludf.DUMMYFUNCTION("""COMPUTED_VALUE"""),"")</f>
        <v/>
      </c>
      <c r="I107" s="79" t="str">
        <f ca="1">IFERROR(__xludf.DUMMYFUNCTION("""COMPUTED_VALUE"""),"")</f>
        <v/>
      </c>
      <c r="J107" s="264"/>
      <c r="K107" s="82" t="str">
        <f ca="1">IFERROR(__xludf.DUMMYFUNCTION("""COMPUTED_VALUE"""),"")</f>
        <v/>
      </c>
      <c r="L107" s="81" t="str">
        <f ca="1">IFERROR(__xludf.DUMMYFUNCTION("""COMPUTED_VALUE"""),"")</f>
        <v/>
      </c>
      <c r="M107" s="82"/>
      <c r="N107" s="83"/>
      <c r="O107" s="75" t="str">
        <f ca="1">IFERROR(__xludf.DUMMYFUNCTION("""COMPUTED_VALUE"""),"")</f>
        <v/>
      </c>
      <c r="P107" s="82"/>
      <c r="Q107" s="83"/>
      <c r="R107" s="75" t="str">
        <f ca="1">IFERROR(__xludf.DUMMYFUNCTION("""COMPUTED_VALUE"""),"")</f>
        <v/>
      </c>
      <c r="S107" s="82"/>
      <c r="T107" s="83"/>
      <c r="U107" s="75" t="str">
        <f ca="1">IFERROR(__xludf.DUMMYFUNCTION("""COMPUTED_VALUE"""),"")</f>
        <v/>
      </c>
      <c r="V107" s="82"/>
      <c r="W107" s="83"/>
      <c r="X107" s="75" t="str">
        <f ca="1">IFERROR(__xludf.DUMMYFUNCTION("""COMPUTED_VALUE"""),"")</f>
        <v/>
      </c>
      <c r="Y107" s="82"/>
      <c r="Z107" s="83"/>
      <c r="AA107" s="75" t="str">
        <f ca="1">IFERROR(__xludf.DUMMYFUNCTION("""COMPUTED_VALUE"""),"")</f>
        <v/>
      </c>
      <c r="AB107" s="82"/>
      <c r="AC107" s="83"/>
      <c r="AD107" s="75" t="str">
        <f ca="1">IFERROR(__xludf.DUMMYFUNCTION("""COMPUTED_VALUE"""),"")</f>
        <v/>
      </c>
      <c r="AE107" s="82"/>
      <c r="AF107" s="83"/>
      <c r="AG107" s="75" t="str">
        <f ca="1">IFERROR(__xludf.DUMMYFUNCTION("""COMPUTED_VALUE"""),"")</f>
        <v/>
      </c>
      <c r="AH107" s="82"/>
      <c r="AI107" s="83"/>
      <c r="AJ107" s="75" t="str">
        <f ca="1">IFERROR(__xludf.DUMMYFUNCTION("""COMPUTED_VALUE"""),"")</f>
        <v/>
      </c>
      <c r="AK107" s="82"/>
      <c r="AL107" s="83"/>
      <c r="AM107" s="75" t="str">
        <f ca="1">IFERROR(__xludf.DUMMYFUNCTION("""COMPUTED_VALUE"""),"")</f>
        <v/>
      </c>
      <c r="AN107" s="82"/>
      <c r="AO107" s="83"/>
      <c r="AP107" s="75" t="str">
        <f ca="1">IFERROR(__xludf.DUMMYFUNCTION("""COMPUTED_VALUE"""),"")</f>
        <v/>
      </c>
      <c r="AQ107" s="82"/>
      <c r="AR107" s="83"/>
      <c r="AS107" s="75" t="str">
        <f ca="1">IFERROR(__xludf.DUMMYFUNCTION("""COMPUTED_VALUE"""),"")</f>
        <v/>
      </c>
      <c r="AT107" s="82"/>
      <c r="AU107" s="83"/>
      <c r="AV107" s="75" t="str">
        <f ca="1">IFERROR(__xludf.DUMMYFUNCTION("""COMPUTED_VALUE"""),"")</f>
        <v/>
      </c>
      <c r="AW107" s="82"/>
      <c r="AX107" s="83"/>
      <c r="AY107" s="75" t="str">
        <f ca="1">IFERROR(__xludf.DUMMYFUNCTION("""COMPUTED_VALUE"""),"")</f>
        <v/>
      </c>
      <c r="AZ107" s="82"/>
      <c r="BA107" s="83"/>
      <c r="BB107" s="75" t="str">
        <f ca="1">IFERROR(__xludf.DUMMYFUNCTION("""COMPUTED_VALUE"""),"")</f>
        <v/>
      </c>
      <c r="BC107" s="82"/>
      <c r="BD107" s="83"/>
      <c r="BE107" s="75" t="str">
        <f ca="1">IFERROR(__xludf.DUMMYFUNCTION("""COMPUTED_VALUE"""),"")</f>
        <v/>
      </c>
      <c r="BF107" s="82"/>
      <c r="BG107" s="83"/>
      <c r="BH107" s="75" t="str">
        <f ca="1">IFERROR(__xludf.DUMMYFUNCTION("""COMPUTED_VALUE"""),"")</f>
        <v/>
      </c>
      <c r="BI107" s="46"/>
    </row>
    <row r="108" spans="1:61" ht="22.5" customHeight="1" x14ac:dyDescent="0.25">
      <c r="A108" s="46"/>
      <c r="B108" s="85"/>
      <c r="C108" s="75"/>
      <c r="D108" s="75"/>
      <c r="E108" s="75"/>
      <c r="F108" s="76"/>
      <c r="G108" s="77" t="str">
        <f ca="1">IFERROR(__xludf.DUMMYFUNCTION("""COMPUTED_VALUE"""),"")</f>
        <v/>
      </c>
      <c r="H108" s="78" t="str">
        <f ca="1">IFERROR(__xludf.DUMMYFUNCTION("""COMPUTED_VALUE"""),"")</f>
        <v/>
      </c>
      <c r="I108" s="79" t="str">
        <f ca="1">IFERROR(__xludf.DUMMYFUNCTION("""COMPUTED_VALUE"""),"")</f>
        <v/>
      </c>
      <c r="J108" s="264"/>
      <c r="K108" s="82" t="str">
        <f ca="1">IFERROR(__xludf.DUMMYFUNCTION("""COMPUTED_VALUE"""),"")</f>
        <v/>
      </c>
      <c r="L108" s="81" t="str">
        <f ca="1">IFERROR(__xludf.DUMMYFUNCTION("""COMPUTED_VALUE"""),"")</f>
        <v/>
      </c>
      <c r="M108" s="82"/>
      <c r="N108" s="83"/>
      <c r="O108" s="75" t="str">
        <f ca="1">IFERROR(__xludf.DUMMYFUNCTION("""COMPUTED_VALUE"""),"")</f>
        <v/>
      </c>
      <c r="P108" s="82"/>
      <c r="Q108" s="83"/>
      <c r="R108" s="75" t="str">
        <f ca="1">IFERROR(__xludf.DUMMYFUNCTION("""COMPUTED_VALUE"""),"")</f>
        <v/>
      </c>
      <c r="S108" s="82"/>
      <c r="T108" s="83"/>
      <c r="U108" s="75" t="str">
        <f ca="1">IFERROR(__xludf.DUMMYFUNCTION("""COMPUTED_VALUE"""),"")</f>
        <v/>
      </c>
      <c r="V108" s="82"/>
      <c r="W108" s="83"/>
      <c r="X108" s="75" t="str">
        <f ca="1">IFERROR(__xludf.DUMMYFUNCTION("""COMPUTED_VALUE"""),"")</f>
        <v/>
      </c>
      <c r="Y108" s="82"/>
      <c r="Z108" s="83"/>
      <c r="AA108" s="75" t="str">
        <f ca="1">IFERROR(__xludf.DUMMYFUNCTION("""COMPUTED_VALUE"""),"")</f>
        <v/>
      </c>
      <c r="AB108" s="82"/>
      <c r="AC108" s="83"/>
      <c r="AD108" s="75" t="str">
        <f ca="1">IFERROR(__xludf.DUMMYFUNCTION("""COMPUTED_VALUE"""),"")</f>
        <v/>
      </c>
      <c r="AE108" s="82"/>
      <c r="AF108" s="83"/>
      <c r="AG108" s="75" t="str">
        <f ca="1">IFERROR(__xludf.DUMMYFUNCTION("""COMPUTED_VALUE"""),"")</f>
        <v/>
      </c>
      <c r="AH108" s="82"/>
      <c r="AI108" s="83"/>
      <c r="AJ108" s="75" t="str">
        <f ca="1">IFERROR(__xludf.DUMMYFUNCTION("""COMPUTED_VALUE"""),"")</f>
        <v/>
      </c>
      <c r="AK108" s="82"/>
      <c r="AL108" s="83"/>
      <c r="AM108" s="75" t="str">
        <f ca="1">IFERROR(__xludf.DUMMYFUNCTION("""COMPUTED_VALUE"""),"")</f>
        <v/>
      </c>
      <c r="AN108" s="82"/>
      <c r="AO108" s="83"/>
      <c r="AP108" s="75" t="str">
        <f ca="1">IFERROR(__xludf.DUMMYFUNCTION("""COMPUTED_VALUE"""),"")</f>
        <v/>
      </c>
      <c r="AQ108" s="82"/>
      <c r="AR108" s="83"/>
      <c r="AS108" s="75" t="str">
        <f ca="1">IFERROR(__xludf.DUMMYFUNCTION("""COMPUTED_VALUE"""),"")</f>
        <v/>
      </c>
      <c r="AT108" s="82"/>
      <c r="AU108" s="83"/>
      <c r="AV108" s="75" t="str">
        <f ca="1">IFERROR(__xludf.DUMMYFUNCTION("""COMPUTED_VALUE"""),"")</f>
        <v/>
      </c>
      <c r="AW108" s="82"/>
      <c r="AX108" s="83"/>
      <c r="AY108" s="75" t="str">
        <f ca="1">IFERROR(__xludf.DUMMYFUNCTION("""COMPUTED_VALUE"""),"")</f>
        <v/>
      </c>
      <c r="AZ108" s="82"/>
      <c r="BA108" s="83"/>
      <c r="BB108" s="75" t="str">
        <f ca="1">IFERROR(__xludf.DUMMYFUNCTION("""COMPUTED_VALUE"""),"")</f>
        <v/>
      </c>
      <c r="BC108" s="82"/>
      <c r="BD108" s="83"/>
      <c r="BE108" s="75" t="str">
        <f ca="1">IFERROR(__xludf.DUMMYFUNCTION("""COMPUTED_VALUE"""),"")</f>
        <v/>
      </c>
      <c r="BF108" s="82"/>
      <c r="BG108" s="83"/>
      <c r="BH108" s="75" t="str">
        <f ca="1">IFERROR(__xludf.DUMMYFUNCTION("""COMPUTED_VALUE"""),"")</f>
        <v/>
      </c>
      <c r="BI108" s="46"/>
    </row>
    <row r="109" spans="1:61" ht="22.5" customHeight="1" x14ac:dyDescent="0.25">
      <c r="A109" s="46"/>
      <c r="B109" s="85"/>
      <c r="C109" s="75"/>
      <c r="D109" s="75"/>
      <c r="E109" s="75"/>
      <c r="F109" s="76"/>
      <c r="G109" s="77" t="str">
        <f ca="1">IFERROR(__xludf.DUMMYFUNCTION("""COMPUTED_VALUE"""),"")</f>
        <v/>
      </c>
      <c r="H109" s="78" t="str">
        <f ca="1">IFERROR(__xludf.DUMMYFUNCTION("""COMPUTED_VALUE"""),"")</f>
        <v/>
      </c>
      <c r="I109" s="79" t="str">
        <f ca="1">IFERROR(__xludf.DUMMYFUNCTION("""COMPUTED_VALUE"""),"")</f>
        <v/>
      </c>
      <c r="J109" s="264"/>
      <c r="K109" s="82" t="str">
        <f ca="1">IFERROR(__xludf.DUMMYFUNCTION("""COMPUTED_VALUE"""),"")</f>
        <v/>
      </c>
      <c r="L109" s="81" t="str">
        <f ca="1">IFERROR(__xludf.DUMMYFUNCTION("""COMPUTED_VALUE"""),"")</f>
        <v/>
      </c>
      <c r="M109" s="82"/>
      <c r="N109" s="83"/>
      <c r="O109" s="75" t="str">
        <f ca="1">IFERROR(__xludf.DUMMYFUNCTION("""COMPUTED_VALUE"""),"")</f>
        <v/>
      </c>
      <c r="P109" s="82"/>
      <c r="Q109" s="83"/>
      <c r="R109" s="75" t="str">
        <f ca="1">IFERROR(__xludf.DUMMYFUNCTION("""COMPUTED_VALUE"""),"")</f>
        <v/>
      </c>
      <c r="S109" s="82"/>
      <c r="T109" s="83"/>
      <c r="U109" s="75" t="str">
        <f ca="1">IFERROR(__xludf.DUMMYFUNCTION("""COMPUTED_VALUE"""),"")</f>
        <v/>
      </c>
      <c r="V109" s="82"/>
      <c r="W109" s="83"/>
      <c r="X109" s="75" t="str">
        <f ca="1">IFERROR(__xludf.DUMMYFUNCTION("""COMPUTED_VALUE"""),"")</f>
        <v/>
      </c>
      <c r="Y109" s="82"/>
      <c r="Z109" s="83"/>
      <c r="AA109" s="75" t="str">
        <f ca="1">IFERROR(__xludf.DUMMYFUNCTION("""COMPUTED_VALUE"""),"")</f>
        <v/>
      </c>
      <c r="AB109" s="82"/>
      <c r="AC109" s="83"/>
      <c r="AD109" s="75" t="str">
        <f ca="1">IFERROR(__xludf.DUMMYFUNCTION("""COMPUTED_VALUE"""),"")</f>
        <v/>
      </c>
      <c r="AE109" s="82"/>
      <c r="AF109" s="83"/>
      <c r="AG109" s="75" t="str">
        <f ca="1">IFERROR(__xludf.DUMMYFUNCTION("""COMPUTED_VALUE"""),"")</f>
        <v/>
      </c>
      <c r="AH109" s="82"/>
      <c r="AI109" s="83"/>
      <c r="AJ109" s="75" t="str">
        <f ca="1">IFERROR(__xludf.DUMMYFUNCTION("""COMPUTED_VALUE"""),"")</f>
        <v/>
      </c>
      <c r="AK109" s="82"/>
      <c r="AL109" s="83"/>
      <c r="AM109" s="75" t="str">
        <f ca="1">IFERROR(__xludf.DUMMYFUNCTION("""COMPUTED_VALUE"""),"")</f>
        <v/>
      </c>
      <c r="AN109" s="82"/>
      <c r="AO109" s="83"/>
      <c r="AP109" s="75" t="str">
        <f ca="1">IFERROR(__xludf.DUMMYFUNCTION("""COMPUTED_VALUE"""),"")</f>
        <v/>
      </c>
      <c r="AQ109" s="82"/>
      <c r="AR109" s="83"/>
      <c r="AS109" s="75" t="str">
        <f ca="1">IFERROR(__xludf.DUMMYFUNCTION("""COMPUTED_VALUE"""),"")</f>
        <v/>
      </c>
      <c r="AT109" s="82"/>
      <c r="AU109" s="83"/>
      <c r="AV109" s="75" t="str">
        <f ca="1">IFERROR(__xludf.DUMMYFUNCTION("""COMPUTED_VALUE"""),"")</f>
        <v/>
      </c>
      <c r="AW109" s="82"/>
      <c r="AX109" s="83"/>
      <c r="AY109" s="75" t="str">
        <f ca="1">IFERROR(__xludf.DUMMYFUNCTION("""COMPUTED_VALUE"""),"")</f>
        <v/>
      </c>
      <c r="AZ109" s="82"/>
      <c r="BA109" s="83"/>
      <c r="BB109" s="75" t="str">
        <f ca="1">IFERROR(__xludf.DUMMYFUNCTION("""COMPUTED_VALUE"""),"")</f>
        <v/>
      </c>
      <c r="BC109" s="82"/>
      <c r="BD109" s="83"/>
      <c r="BE109" s="75" t="str">
        <f ca="1">IFERROR(__xludf.DUMMYFUNCTION("""COMPUTED_VALUE"""),"")</f>
        <v/>
      </c>
      <c r="BF109" s="82"/>
      <c r="BG109" s="83"/>
      <c r="BH109" s="75" t="str">
        <f ca="1">IFERROR(__xludf.DUMMYFUNCTION("""COMPUTED_VALUE"""),"")</f>
        <v/>
      </c>
      <c r="BI109" s="46"/>
    </row>
    <row r="110" spans="1:61" ht="22.5" customHeight="1" x14ac:dyDescent="0.25">
      <c r="A110" s="46"/>
      <c r="B110" s="85"/>
      <c r="C110" s="75"/>
      <c r="D110" s="75"/>
      <c r="E110" s="75"/>
      <c r="F110" s="76"/>
      <c r="G110" s="77" t="str">
        <f ca="1">IFERROR(__xludf.DUMMYFUNCTION("""COMPUTED_VALUE"""),"")</f>
        <v/>
      </c>
      <c r="H110" s="78" t="str">
        <f ca="1">IFERROR(__xludf.DUMMYFUNCTION("""COMPUTED_VALUE"""),"")</f>
        <v/>
      </c>
      <c r="I110" s="79" t="str">
        <f ca="1">IFERROR(__xludf.DUMMYFUNCTION("""COMPUTED_VALUE"""),"")</f>
        <v/>
      </c>
      <c r="J110" s="264"/>
      <c r="K110" s="82" t="str">
        <f ca="1">IFERROR(__xludf.DUMMYFUNCTION("""COMPUTED_VALUE"""),"")</f>
        <v/>
      </c>
      <c r="L110" s="81" t="str">
        <f ca="1">IFERROR(__xludf.DUMMYFUNCTION("""COMPUTED_VALUE"""),"")</f>
        <v/>
      </c>
      <c r="M110" s="82"/>
      <c r="N110" s="83"/>
      <c r="O110" s="75" t="str">
        <f ca="1">IFERROR(__xludf.DUMMYFUNCTION("""COMPUTED_VALUE"""),"")</f>
        <v/>
      </c>
      <c r="P110" s="82"/>
      <c r="Q110" s="83"/>
      <c r="R110" s="75" t="str">
        <f ca="1">IFERROR(__xludf.DUMMYFUNCTION("""COMPUTED_VALUE"""),"")</f>
        <v/>
      </c>
      <c r="S110" s="82"/>
      <c r="T110" s="83"/>
      <c r="U110" s="75" t="str">
        <f ca="1">IFERROR(__xludf.DUMMYFUNCTION("""COMPUTED_VALUE"""),"")</f>
        <v/>
      </c>
      <c r="V110" s="82"/>
      <c r="W110" s="83"/>
      <c r="X110" s="75" t="str">
        <f ca="1">IFERROR(__xludf.DUMMYFUNCTION("""COMPUTED_VALUE"""),"")</f>
        <v/>
      </c>
      <c r="Y110" s="82"/>
      <c r="Z110" s="83"/>
      <c r="AA110" s="75" t="str">
        <f ca="1">IFERROR(__xludf.DUMMYFUNCTION("""COMPUTED_VALUE"""),"")</f>
        <v/>
      </c>
      <c r="AB110" s="82"/>
      <c r="AC110" s="83"/>
      <c r="AD110" s="75" t="str">
        <f ca="1">IFERROR(__xludf.DUMMYFUNCTION("""COMPUTED_VALUE"""),"")</f>
        <v/>
      </c>
      <c r="AE110" s="82"/>
      <c r="AF110" s="83"/>
      <c r="AG110" s="75" t="str">
        <f ca="1">IFERROR(__xludf.DUMMYFUNCTION("""COMPUTED_VALUE"""),"")</f>
        <v/>
      </c>
      <c r="AH110" s="82"/>
      <c r="AI110" s="83"/>
      <c r="AJ110" s="75" t="str">
        <f ca="1">IFERROR(__xludf.DUMMYFUNCTION("""COMPUTED_VALUE"""),"")</f>
        <v/>
      </c>
      <c r="AK110" s="82"/>
      <c r="AL110" s="83"/>
      <c r="AM110" s="75" t="str">
        <f ca="1">IFERROR(__xludf.DUMMYFUNCTION("""COMPUTED_VALUE"""),"")</f>
        <v/>
      </c>
      <c r="AN110" s="82"/>
      <c r="AO110" s="83"/>
      <c r="AP110" s="75" t="str">
        <f ca="1">IFERROR(__xludf.DUMMYFUNCTION("""COMPUTED_VALUE"""),"")</f>
        <v/>
      </c>
      <c r="AQ110" s="82"/>
      <c r="AR110" s="83"/>
      <c r="AS110" s="75" t="str">
        <f ca="1">IFERROR(__xludf.DUMMYFUNCTION("""COMPUTED_VALUE"""),"")</f>
        <v/>
      </c>
      <c r="AT110" s="82"/>
      <c r="AU110" s="83"/>
      <c r="AV110" s="75" t="str">
        <f ca="1">IFERROR(__xludf.DUMMYFUNCTION("""COMPUTED_VALUE"""),"")</f>
        <v/>
      </c>
      <c r="AW110" s="82"/>
      <c r="AX110" s="83"/>
      <c r="AY110" s="75" t="str">
        <f ca="1">IFERROR(__xludf.DUMMYFUNCTION("""COMPUTED_VALUE"""),"")</f>
        <v/>
      </c>
      <c r="AZ110" s="82"/>
      <c r="BA110" s="83"/>
      <c r="BB110" s="75" t="str">
        <f ca="1">IFERROR(__xludf.DUMMYFUNCTION("""COMPUTED_VALUE"""),"")</f>
        <v/>
      </c>
      <c r="BC110" s="82"/>
      <c r="BD110" s="83"/>
      <c r="BE110" s="75" t="str">
        <f ca="1">IFERROR(__xludf.DUMMYFUNCTION("""COMPUTED_VALUE"""),"")</f>
        <v/>
      </c>
      <c r="BF110" s="82"/>
      <c r="BG110" s="83"/>
      <c r="BH110" s="75" t="str">
        <f ca="1">IFERROR(__xludf.DUMMYFUNCTION("""COMPUTED_VALUE"""),"")</f>
        <v/>
      </c>
      <c r="BI110" s="46"/>
    </row>
    <row r="111" spans="1:61" ht="22.5" customHeight="1" x14ac:dyDescent="0.25">
      <c r="A111" s="46"/>
      <c r="B111" s="85"/>
      <c r="C111" s="75"/>
      <c r="D111" s="75"/>
      <c r="E111" s="75"/>
      <c r="F111" s="76"/>
      <c r="G111" s="77" t="str">
        <f ca="1">IFERROR(__xludf.DUMMYFUNCTION("""COMPUTED_VALUE"""),"")</f>
        <v/>
      </c>
      <c r="H111" s="78" t="str">
        <f ca="1">IFERROR(__xludf.DUMMYFUNCTION("""COMPUTED_VALUE"""),"")</f>
        <v/>
      </c>
      <c r="I111" s="79" t="str">
        <f ca="1">IFERROR(__xludf.DUMMYFUNCTION("""COMPUTED_VALUE"""),"")</f>
        <v/>
      </c>
      <c r="J111" s="264"/>
      <c r="K111" s="82" t="str">
        <f ca="1">IFERROR(__xludf.DUMMYFUNCTION("""COMPUTED_VALUE"""),"")</f>
        <v/>
      </c>
      <c r="L111" s="81" t="str">
        <f ca="1">IFERROR(__xludf.DUMMYFUNCTION("""COMPUTED_VALUE"""),"")</f>
        <v/>
      </c>
      <c r="M111" s="82"/>
      <c r="N111" s="83"/>
      <c r="O111" s="75" t="str">
        <f ca="1">IFERROR(__xludf.DUMMYFUNCTION("""COMPUTED_VALUE"""),"")</f>
        <v/>
      </c>
      <c r="P111" s="82"/>
      <c r="Q111" s="83"/>
      <c r="R111" s="75" t="str">
        <f ca="1">IFERROR(__xludf.DUMMYFUNCTION("""COMPUTED_VALUE"""),"")</f>
        <v/>
      </c>
      <c r="S111" s="82"/>
      <c r="T111" s="83"/>
      <c r="U111" s="75" t="str">
        <f ca="1">IFERROR(__xludf.DUMMYFUNCTION("""COMPUTED_VALUE"""),"")</f>
        <v/>
      </c>
      <c r="V111" s="82"/>
      <c r="W111" s="83"/>
      <c r="X111" s="75" t="str">
        <f ca="1">IFERROR(__xludf.DUMMYFUNCTION("""COMPUTED_VALUE"""),"")</f>
        <v/>
      </c>
      <c r="Y111" s="82"/>
      <c r="Z111" s="83"/>
      <c r="AA111" s="75" t="str">
        <f ca="1">IFERROR(__xludf.DUMMYFUNCTION("""COMPUTED_VALUE"""),"")</f>
        <v/>
      </c>
      <c r="AB111" s="82"/>
      <c r="AC111" s="83"/>
      <c r="AD111" s="75" t="str">
        <f ca="1">IFERROR(__xludf.DUMMYFUNCTION("""COMPUTED_VALUE"""),"")</f>
        <v/>
      </c>
      <c r="AE111" s="82"/>
      <c r="AF111" s="83"/>
      <c r="AG111" s="75" t="str">
        <f ca="1">IFERROR(__xludf.DUMMYFUNCTION("""COMPUTED_VALUE"""),"")</f>
        <v/>
      </c>
      <c r="AH111" s="82"/>
      <c r="AI111" s="83"/>
      <c r="AJ111" s="75" t="str">
        <f ca="1">IFERROR(__xludf.DUMMYFUNCTION("""COMPUTED_VALUE"""),"")</f>
        <v/>
      </c>
      <c r="AK111" s="82"/>
      <c r="AL111" s="83"/>
      <c r="AM111" s="75" t="str">
        <f ca="1">IFERROR(__xludf.DUMMYFUNCTION("""COMPUTED_VALUE"""),"")</f>
        <v/>
      </c>
      <c r="AN111" s="82"/>
      <c r="AO111" s="83"/>
      <c r="AP111" s="75" t="str">
        <f ca="1">IFERROR(__xludf.DUMMYFUNCTION("""COMPUTED_VALUE"""),"")</f>
        <v/>
      </c>
      <c r="AQ111" s="82"/>
      <c r="AR111" s="83"/>
      <c r="AS111" s="75" t="str">
        <f ca="1">IFERROR(__xludf.DUMMYFUNCTION("""COMPUTED_VALUE"""),"")</f>
        <v/>
      </c>
      <c r="AT111" s="82"/>
      <c r="AU111" s="83"/>
      <c r="AV111" s="75" t="str">
        <f ca="1">IFERROR(__xludf.DUMMYFUNCTION("""COMPUTED_VALUE"""),"")</f>
        <v/>
      </c>
      <c r="AW111" s="82"/>
      <c r="AX111" s="83"/>
      <c r="AY111" s="75" t="str">
        <f ca="1">IFERROR(__xludf.DUMMYFUNCTION("""COMPUTED_VALUE"""),"")</f>
        <v/>
      </c>
      <c r="AZ111" s="82"/>
      <c r="BA111" s="83"/>
      <c r="BB111" s="75" t="str">
        <f ca="1">IFERROR(__xludf.DUMMYFUNCTION("""COMPUTED_VALUE"""),"")</f>
        <v/>
      </c>
      <c r="BC111" s="82"/>
      <c r="BD111" s="83"/>
      <c r="BE111" s="75" t="str">
        <f ca="1">IFERROR(__xludf.DUMMYFUNCTION("""COMPUTED_VALUE"""),"")</f>
        <v/>
      </c>
      <c r="BF111" s="82"/>
      <c r="BG111" s="83"/>
      <c r="BH111" s="75" t="str">
        <f ca="1">IFERROR(__xludf.DUMMYFUNCTION("""COMPUTED_VALUE"""),"")</f>
        <v/>
      </c>
      <c r="BI111" s="46"/>
    </row>
    <row r="112" spans="1:61" ht="22.5" customHeight="1" x14ac:dyDescent="0.25">
      <c r="A112" s="46"/>
      <c r="B112" s="85"/>
      <c r="C112" s="75"/>
      <c r="D112" s="75"/>
      <c r="E112" s="75"/>
      <c r="F112" s="76"/>
      <c r="G112" s="77" t="str">
        <f ca="1">IFERROR(__xludf.DUMMYFUNCTION("""COMPUTED_VALUE"""),"")</f>
        <v/>
      </c>
      <c r="H112" s="78" t="str">
        <f ca="1">IFERROR(__xludf.DUMMYFUNCTION("""COMPUTED_VALUE"""),"")</f>
        <v/>
      </c>
      <c r="I112" s="79" t="str">
        <f ca="1">IFERROR(__xludf.DUMMYFUNCTION("""COMPUTED_VALUE"""),"")</f>
        <v/>
      </c>
      <c r="J112" s="264"/>
      <c r="K112" s="82" t="str">
        <f ca="1">IFERROR(__xludf.DUMMYFUNCTION("""COMPUTED_VALUE"""),"")</f>
        <v/>
      </c>
      <c r="L112" s="81" t="str">
        <f ca="1">IFERROR(__xludf.DUMMYFUNCTION("""COMPUTED_VALUE"""),"")</f>
        <v/>
      </c>
      <c r="M112" s="82"/>
      <c r="N112" s="83"/>
      <c r="O112" s="75" t="str">
        <f ca="1">IFERROR(__xludf.DUMMYFUNCTION("""COMPUTED_VALUE"""),"")</f>
        <v/>
      </c>
      <c r="P112" s="82"/>
      <c r="Q112" s="83"/>
      <c r="R112" s="75" t="str">
        <f ca="1">IFERROR(__xludf.DUMMYFUNCTION("""COMPUTED_VALUE"""),"")</f>
        <v/>
      </c>
      <c r="S112" s="82"/>
      <c r="T112" s="83"/>
      <c r="U112" s="75" t="str">
        <f ca="1">IFERROR(__xludf.DUMMYFUNCTION("""COMPUTED_VALUE"""),"")</f>
        <v/>
      </c>
      <c r="V112" s="82"/>
      <c r="W112" s="83"/>
      <c r="X112" s="75" t="str">
        <f ca="1">IFERROR(__xludf.DUMMYFUNCTION("""COMPUTED_VALUE"""),"")</f>
        <v/>
      </c>
      <c r="Y112" s="82"/>
      <c r="Z112" s="83"/>
      <c r="AA112" s="75" t="str">
        <f ca="1">IFERROR(__xludf.DUMMYFUNCTION("""COMPUTED_VALUE"""),"")</f>
        <v/>
      </c>
      <c r="AB112" s="82"/>
      <c r="AC112" s="83"/>
      <c r="AD112" s="75" t="str">
        <f ca="1">IFERROR(__xludf.DUMMYFUNCTION("""COMPUTED_VALUE"""),"")</f>
        <v/>
      </c>
      <c r="AE112" s="82"/>
      <c r="AF112" s="83"/>
      <c r="AG112" s="75" t="str">
        <f ca="1">IFERROR(__xludf.DUMMYFUNCTION("""COMPUTED_VALUE"""),"")</f>
        <v/>
      </c>
      <c r="AH112" s="82"/>
      <c r="AI112" s="83"/>
      <c r="AJ112" s="75" t="str">
        <f ca="1">IFERROR(__xludf.DUMMYFUNCTION("""COMPUTED_VALUE"""),"")</f>
        <v/>
      </c>
      <c r="AK112" s="82"/>
      <c r="AL112" s="83"/>
      <c r="AM112" s="75" t="str">
        <f ca="1">IFERROR(__xludf.DUMMYFUNCTION("""COMPUTED_VALUE"""),"")</f>
        <v/>
      </c>
      <c r="AN112" s="82"/>
      <c r="AO112" s="83"/>
      <c r="AP112" s="75" t="str">
        <f ca="1">IFERROR(__xludf.DUMMYFUNCTION("""COMPUTED_VALUE"""),"")</f>
        <v/>
      </c>
      <c r="AQ112" s="82"/>
      <c r="AR112" s="83"/>
      <c r="AS112" s="75" t="str">
        <f ca="1">IFERROR(__xludf.DUMMYFUNCTION("""COMPUTED_VALUE"""),"")</f>
        <v/>
      </c>
      <c r="AT112" s="82"/>
      <c r="AU112" s="83"/>
      <c r="AV112" s="75" t="str">
        <f ca="1">IFERROR(__xludf.DUMMYFUNCTION("""COMPUTED_VALUE"""),"")</f>
        <v/>
      </c>
      <c r="AW112" s="82"/>
      <c r="AX112" s="83"/>
      <c r="AY112" s="75" t="str">
        <f ca="1">IFERROR(__xludf.DUMMYFUNCTION("""COMPUTED_VALUE"""),"")</f>
        <v/>
      </c>
      <c r="AZ112" s="82"/>
      <c r="BA112" s="83"/>
      <c r="BB112" s="75" t="str">
        <f ca="1">IFERROR(__xludf.DUMMYFUNCTION("""COMPUTED_VALUE"""),"")</f>
        <v/>
      </c>
      <c r="BC112" s="82"/>
      <c r="BD112" s="83"/>
      <c r="BE112" s="75" t="str">
        <f ca="1">IFERROR(__xludf.DUMMYFUNCTION("""COMPUTED_VALUE"""),"")</f>
        <v/>
      </c>
      <c r="BF112" s="82"/>
      <c r="BG112" s="83"/>
      <c r="BH112" s="75" t="str">
        <f ca="1">IFERROR(__xludf.DUMMYFUNCTION("""COMPUTED_VALUE"""),"")</f>
        <v/>
      </c>
      <c r="BI112" s="46"/>
    </row>
    <row r="113" spans="1:61" ht="22.5" customHeight="1" x14ac:dyDescent="0.25">
      <c r="A113" s="46"/>
      <c r="B113" s="85"/>
      <c r="C113" s="75"/>
      <c r="D113" s="75"/>
      <c r="E113" s="75"/>
      <c r="F113" s="76"/>
      <c r="G113" s="77" t="str">
        <f ca="1">IFERROR(__xludf.DUMMYFUNCTION("""COMPUTED_VALUE"""),"")</f>
        <v/>
      </c>
      <c r="H113" s="78" t="str">
        <f ca="1">IFERROR(__xludf.DUMMYFUNCTION("""COMPUTED_VALUE"""),"")</f>
        <v/>
      </c>
      <c r="I113" s="79" t="str">
        <f ca="1">IFERROR(__xludf.DUMMYFUNCTION("""COMPUTED_VALUE"""),"")</f>
        <v/>
      </c>
      <c r="J113" s="264"/>
      <c r="K113" s="82" t="str">
        <f ca="1">IFERROR(__xludf.DUMMYFUNCTION("""COMPUTED_VALUE"""),"")</f>
        <v/>
      </c>
      <c r="L113" s="81" t="str">
        <f ca="1">IFERROR(__xludf.DUMMYFUNCTION("""COMPUTED_VALUE"""),"")</f>
        <v/>
      </c>
      <c r="M113" s="82"/>
      <c r="N113" s="83"/>
      <c r="O113" s="75" t="str">
        <f ca="1">IFERROR(__xludf.DUMMYFUNCTION("""COMPUTED_VALUE"""),"")</f>
        <v/>
      </c>
      <c r="P113" s="82"/>
      <c r="Q113" s="83"/>
      <c r="R113" s="75" t="str">
        <f ca="1">IFERROR(__xludf.DUMMYFUNCTION("""COMPUTED_VALUE"""),"")</f>
        <v/>
      </c>
      <c r="S113" s="82"/>
      <c r="T113" s="83"/>
      <c r="U113" s="75" t="str">
        <f ca="1">IFERROR(__xludf.DUMMYFUNCTION("""COMPUTED_VALUE"""),"")</f>
        <v/>
      </c>
      <c r="V113" s="82"/>
      <c r="W113" s="83"/>
      <c r="X113" s="75" t="str">
        <f ca="1">IFERROR(__xludf.DUMMYFUNCTION("""COMPUTED_VALUE"""),"")</f>
        <v/>
      </c>
      <c r="Y113" s="82"/>
      <c r="Z113" s="83"/>
      <c r="AA113" s="75" t="str">
        <f ca="1">IFERROR(__xludf.DUMMYFUNCTION("""COMPUTED_VALUE"""),"")</f>
        <v/>
      </c>
      <c r="AB113" s="82"/>
      <c r="AC113" s="83"/>
      <c r="AD113" s="75" t="str">
        <f ca="1">IFERROR(__xludf.DUMMYFUNCTION("""COMPUTED_VALUE"""),"")</f>
        <v/>
      </c>
      <c r="AE113" s="82"/>
      <c r="AF113" s="83"/>
      <c r="AG113" s="75" t="str">
        <f ca="1">IFERROR(__xludf.DUMMYFUNCTION("""COMPUTED_VALUE"""),"")</f>
        <v/>
      </c>
      <c r="AH113" s="82"/>
      <c r="AI113" s="83"/>
      <c r="AJ113" s="75" t="str">
        <f ca="1">IFERROR(__xludf.DUMMYFUNCTION("""COMPUTED_VALUE"""),"")</f>
        <v/>
      </c>
      <c r="AK113" s="82"/>
      <c r="AL113" s="83"/>
      <c r="AM113" s="75" t="str">
        <f ca="1">IFERROR(__xludf.DUMMYFUNCTION("""COMPUTED_VALUE"""),"")</f>
        <v/>
      </c>
      <c r="AN113" s="82"/>
      <c r="AO113" s="83"/>
      <c r="AP113" s="75" t="str">
        <f ca="1">IFERROR(__xludf.DUMMYFUNCTION("""COMPUTED_VALUE"""),"")</f>
        <v/>
      </c>
      <c r="AQ113" s="82"/>
      <c r="AR113" s="83"/>
      <c r="AS113" s="75" t="str">
        <f ca="1">IFERROR(__xludf.DUMMYFUNCTION("""COMPUTED_VALUE"""),"")</f>
        <v/>
      </c>
      <c r="AT113" s="82"/>
      <c r="AU113" s="83"/>
      <c r="AV113" s="75" t="str">
        <f ca="1">IFERROR(__xludf.DUMMYFUNCTION("""COMPUTED_VALUE"""),"")</f>
        <v/>
      </c>
      <c r="AW113" s="82"/>
      <c r="AX113" s="83"/>
      <c r="AY113" s="75" t="str">
        <f ca="1">IFERROR(__xludf.DUMMYFUNCTION("""COMPUTED_VALUE"""),"")</f>
        <v/>
      </c>
      <c r="AZ113" s="82"/>
      <c r="BA113" s="83"/>
      <c r="BB113" s="75" t="str">
        <f ca="1">IFERROR(__xludf.DUMMYFUNCTION("""COMPUTED_VALUE"""),"")</f>
        <v/>
      </c>
      <c r="BC113" s="82"/>
      <c r="BD113" s="83"/>
      <c r="BE113" s="75" t="str">
        <f ca="1">IFERROR(__xludf.DUMMYFUNCTION("""COMPUTED_VALUE"""),"")</f>
        <v/>
      </c>
      <c r="BF113" s="82"/>
      <c r="BG113" s="83"/>
      <c r="BH113" s="75" t="str">
        <f ca="1">IFERROR(__xludf.DUMMYFUNCTION("""COMPUTED_VALUE"""),"")</f>
        <v/>
      </c>
      <c r="BI113" s="46"/>
    </row>
    <row r="114" spans="1:61" ht="22.5" customHeight="1" x14ac:dyDescent="0.25">
      <c r="A114" s="46"/>
      <c r="B114" s="85"/>
      <c r="C114" s="75"/>
      <c r="D114" s="75"/>
      <c r="E114" s="75"/>
      <c r="F114" s="76"/>
      <c r="G114" s="77" t="str">
        <f ca="1">IFERROR(__xludf.DUMMYFUNCTION("""COMPUTED_VALUE"""),"")</f>
        <v/>
      </c>
      <c r="H114" s="78" t="str">
        <f ca="1">IFERROR(__xludf.DUMMYFUNCTION("""COMPUTED_VALUE"""),"")</f>
        <v/>
      </c>
      <c r="I114" s="79" t="str">
        <f ca="1">IFERROR(__xludf.DUMMYFUNCTION("""COMPUTED_VALUE"""),"")</f>
        <v/>
      </c>
      <c r="J114" s="264"/>
      <c r="K114" s="82" t="str">
        <f ca="1">IFERROR(__xludf.DUMMYFUNCTION("""COMPUTED_VALUE"""),"")</f>
        <v/>
      </c>
      <c r="L114" s="81" t="str">
        <f ca="1">IFERROR(__xludf.DUMMYFUNCTION("""COMPUTED_VALUE"""),"")</f>
        <v/>
      </c>
      <c r="M114" s="82"/>
      <c r="N114" s="83"/>
      <c r="O114" s="75" t="str">
        <f ca="1">IFERROR(__xludf.DUMMYFUNCTION("""COMPUTED_VALUE"""),"")</f>
        <v/>
      </c>
      <c r="P114" s="82"/>
      <c r="Q114" s="83"/>
      <c r="R114" s="75" t="str">
        <f ca="1">IFERROR(__xludf.DUMMYFUNCTION("""COMPUTED_VALUE"""),"")</f>
        <v/>
      </c>
      <c r="S114" s="82"/>
      <c r="T114" s="83"/>
      <c r="U114" s="75" t="str">
        <f ca="1">IFERROR(__xludf.DUMMYFUNCTION("""COMPUTED_VALUE"""),"")</f>
        <v/>
      </c>
      <c r="V114" s="82"/>
      <c r="W114" s="83"/>
      <c r="X114" s="75" t="str">
        <f ca="1">IFERROR(__xludf.DUMMYFUNCTION("""COMPUTED_VALUE"""),"")</f>
        <v/>
      </c>
      <c r="Y114" s="82"/>
      <c r="Z114" s="83"/>
      <c r="AA114" s="75" t="str">
        <f ca="1">IFERROR(__xludf.DUMMYFUNCTION("""COMPUTED_VALUE"""),"")</f>
        <v/>
      </c>
      <c r="AB114" s="82"/>
      <c r="AC114" s="83"/>
      <c r="AD114" s="75" t="str">
        <f ca="1">IFERROR(__xludf.DUMMYFUNCTION("""COMPUTED_VALUE"""),"")</f>
        <v/>
      </c>
      <c r="AE114" s="82"/>
      <c r="AF114" s="83"/>
      <c r="AG114" s="75" t="str">
        <f ca="1">IFERROR(__xludf.DUMMYFUNCTION("""COMPUTED_VALUE"""),"")</f>
        <v/>
      </c>
      <c r="AH114" s="82"/>
      <c r="AI114" s="83"/>
      <c r="AJ114" s="75" t="str">
        <f ca="1">IFERROR(__xludf.DUMMYFUNCTION("""COMPUTED_VALUE"""),"")</f>
        <v/>
      </c>
      <c r="AK114" s="82"/>
      <c r="AL114" s="83"/>
      <c r="AM114" s="75" t="str">
        <f ca="1">IFERROR(__xludf.DUMMYFUNCTION("""COMPUTED_VALUE"""),"")</f>
        <v/>
      </c>
      <c r="AN114" s="82"/>
      <c r="AO114" s="83"/>
      <c r="AP114" s="75" t="str">
        <f ca="1">IFERROR(__xludf.DUMMYFUNCTION("""COMPUTED_VALUE"""),"")</f>
        <v/>
      </c>
      <c r="AQ114" s="82"/>
      <c r="AR114" s="83"/>
      <c r="AS114" s="75" t="str">
        <f ca="1">IFERROR(__xludf.DUMMYFUNCTION("""COMPUTED_VALUE"""),"")</f>
        <v/>
      </c>
      <c r="AT114" s="82"/>
      <c r="AU114" s="83"/>
      <c r="AV114" s="75" t="str">
        <f ca="1">IFERROR(__xludf.DUMMYFUNCTION("""COMPUTED_VALUE"""),"")</f>
        <v/>
      </c>
      <c r="AW114" s="82"/>
      <c r="AX114" s="83"/>
      <c r="AY114" s="75" t="str">
        <f ca="1">IFERROR(__xludf.DUMMYFUNCTION("""COMPUTED_VALUE"""),"")</f>
        <v/>
      </c>
      <c r="AZ114" s="82"/>
      <c r="BA114" s="83"/>
      <c r="BB114" s="75" t="str">
        <f ca="1">IFERROR(__xludf.DUMMYFUNCTION("""COMPUTED_VALUE"""),"")</f>
        <v/>
      </c>
      <c r="BC114" s="82"/>
      <c r="BD114" s="83"/>
      <c r="BE114" s="75" t="str">
        <f ca="1">IFERROR(__xludf.DUMMYFUNCTION("""COMPUTED_VALUE"""),"")</f>
        <v/>
      </c>
      <c r="BF114" s="82"/>
      <c r="BG114" s="83"/>
      <c r="BH114" s="75" t="str">
        <f ca="1">IFERROR(__xludf.DUMMYFUNCTION("""COMPUTED_VALUE"""),"")</f>
        <v/>
      </c>
      <c r="BI114" s="46"/>
    </row>
    <row r="115" spans="1:61" ht="22.5" customHeight="1" x14ac:dyDescent="0.25">
      <c r="A115" s="46"/>
      <c r="B115" s="85"/>
      <c r="C115" s="75"/>
      <c r="D115" s="75"/>
      <c r="E115" s="75"/>
      <c r="F115" s="76"/>
      <c r="G115" s="77" t="str">
        <f ca="1">IFERROR(__xludf.DUMMYFUNCTION("""COMPUTED_VALUE"""),"")</f>
        <v/>
      </c>
      <c r="H115" s="78" t="str">
        <f ca="1">IFERROR(__xludf.DUMMYFUNCTION("""COMPUTED_VALUE"""),"")</f>
        <v/>
      </c>
      <c r="I115" s="79" t="str">
        <f ca="1">IFERROR(__xludf.DUMMYFUNCTION("""COMPUTED_VALUE"""),"")</f>
        <v/>
      </c>
      <c r="J115" s="264"/>
      <c r="K115" s="82" t="str">
        <f ca="1">IFERROR(__xludf.DUMMYFUNCTION("""COMPUTED_VALUE"""),"")</f>
        <v/>
      </c>
      <c r="L115" s="81" t="str">
        <f ca="1">IFERROR(__xludf.DUMMYFUNCTION("""COMPUTED_VALUE"""),"")</f>
        <v/>
      </c>
      <c r="M115" s="82"/>
      <c r="N115" s="83"/>
      <c r="O115" s="75" t="str">
        <f ca="1">IFERROR(__xludf.DUMMYFUNCTION("""COMPUTED_VALUE"""),"")</f>
        <v/>
      </c>
      <c r="P115" s="82"/>
      <c r="Q115" s="83"/>
      <c r="R115" s="75" t="str">
        <f ca="1">IFERROR(__xludf.DUMMYFUNCTION("""COMPUTED_VALUE"""),"")</f>
        <v/>
      </c>
      <c r="S115" s="82"/>
      <c r="T115" s="83"/>
      <c r="U115" s="75" t="str">
        <f ca="1">IFERROR(__xludf.DUMMYFUNCTION("""COMPUTED_VALUE"""),"")</f>
        <v/>
      </c>
      <c r="V115" s="82"/>
      <c r="W115" s="83"/>
      <c r="X115" s="75" t="str">
        <f ca="1">IFERROR(__xludf.DUMMYFUNCTION("""COMPUTED_VALUE"""),"")</f>
        <v/>
      </c>
      <c r="Y115" s="82"/>
      <c r="Z115" s="83"/>
      <c r="AA115" s="75" t="str">
        <f ca="1">IFERROR(__xludf.DUMMYFUNCTION("""COMPUTED_VALUE"""),"")</f>
        <v/>
      </c>
      <c r="AB115" s="82"/>
      <c r="AC115" s="83"/>
      <c r="AD115" s="75" t="str">
        <f ca="1">IFERROR(__xludf.DUMMYFUNCTION("""COMPUTED_VALUE"""),"")</f>
        <v/>
      </c>
      <c r="AE115" s="82"/>
      <c r="AF115" s="83"/>
      <c r="AG115" s="75" t="str">
        <f ca="1">IFERROR(__xludf.DUMMYFUNCTION("""COMPUTED_VALUE"""),"")</f>
        <v/>
      </c>
      <c r="AH115" s="82"/>
      <c r="AI115" s="83"/>
      <c r="AJ115" s="75" t="str">
        <f ca="1">IFERROR(__xludf.DUMMYFUNCTION("""COMPUTED_VALUE"""),"")</f>
        <v/>
      </c>
      <c r="AK115" s="82"/>
      <c r="AL115" s="83"/>
      <c r="AM115" s="75" t="str">
        <f ca="1">IFERROR(__xludf.DUMMYFUNCTION("""COMPUTED_VALUE"""),"")</f>
        <v/>
      </c>
      <c r="AN115" s="82"/>
      <c r="AO115" s="83"/>
      <c r="AP115" s="75" t="str">
        <f ca="1">IFERROR(__xludf.DUMMYFUNCTION("""COMPUTED_VALUE"""),"")</f>
        <v/>
      </c>
      <c r="AQ115" s="82"/>
      <c r="AR115" s="83"/>
      <c r="AS115" s="75" t="str">
        <f ca="1">IFERROR(__xludf.DUMMYFUNCTION("""COMPUTED_VALUE"""),"")</f>
        <v/>
      </c>
      <c r="AT115" s="82"/>
      <c r="AU115" s="83"/>
      <c r="AV115" s="75" t="str">
        <f ca="1">IFERROR(__xludf.DUMMYFUNCTION("""COMPUTED_VALUE"""),"")</f>
        <v/>
      </c>
      <c r="AW115" s="82"/>
      <c r="AX115" s="83"/>
      <c r="AY115" s="75" t="str">
        <f ca="1">IFERROR(__xludf.DUMMYFUNCTION("""COMPUTED_VALUE"""),"")</f>
        <v/>
      </c>
      <c r="AZ115" s="82"/>
      <c r="BA115" s="83"/>
      <c r="BB115" s="75" t="str">
        <f ca="1">IFERROR(__xludf.DUMMYFUNCTION("""COMPUTED_VALUE"""),"")</f>
        <v/>
      </c>
      <c r="BC115" s="82"/>
      <c r="BD115" s="83"/>
      <c r="BE115" s="75" t="str">
        <f ca="1">IFERROR(__xludf.DUMMYFUNCTION("""COMPUTED_VALUE"""),"")</f>
        <v/>
      </c>
      <c r="BF115" s="82"/>
      <c r="BG115" s="83"/>
      <c r="BH115" s="75" t="str">
        <f ca="1">IFERROR(__xludf.DUMMYFUNCTION("""COMPUTED_VALUE"""),"")</f>
        <v/>
      </c>
      <c r="BI115" s="46"/>
    </row>
    <row r="116" spans="1:61" ht="22.5" customHeight="1" x14ac:dyDescent="0.25">
      <c r="A116" s="46"/>
      <c r="B116" s="85"/>
      <c r="C116" s="75"/>
      <c r="D116" s="75"/>
      <c r="E116" s="75"/>
      <c r="F116" s="76"/>
      <c r="G116" s="77" t="str">
        <f ca="1">IFERROR(__xludf.DUMMYFUNCTION("""COMPUTED_VALUE"""),"")</f>
        <v/>
      </c>
      <c r="H116" s="78" t="str">
        <f ca="1">IFERROR(__xludf.DUMMYFUNCTION("""COMPUTED_VALUE"""),"")</f>
        <v/>
      </c>
      <c r="I116" s="79" t="str">
        <f ca="1">IFERROR(__xludf.DUMMYFUNCTION("""COMPUTED_VALUE"""),"")</f>
        <v/>
      </c>
      <c r="J116" s="264"/>
      <c r="K116" s="82" t="str">
        <f ca="1">IFERROR(__xludf.DUMMYFUNCTION("""COMPUTED_VALUE"""),"")</f>
        <v/>
      </c>
      <c r="L116" s="81" t="str">
        <f ca="1">IFERROR(__xludf.DUMMYFUNCTION("""COMPUTED_VALUE"""),"")</f>
        <v/>
      </c>
      <c r="M116" s="82"/>
      <c r="N116" s="83"/>
      <c r="O116" s="75" t="str">
        <f ca="1">IFERROR(__xludf.DUMMYFUNCTION("""COMPUTED_VALUE"""),"")</f>
        <v/>
      </c>
      <c r="P116" s="82"/>
      <c r="Q116" s="83"/>
      <c r="R116" s="75" t="str">
        <f ca="1">IFERROR(__xludf.DUMMYFUNCTION("""COMPUTED_VALUE"""),"")</f>
        <v/>
      </c>
      <c r="S116" s="82"/>
      <c r="T116" s="83"/>
      <c r="U116" s="75" t="str">
        <f ca="1">IFERROR(__xludf.DUMMYFUNCTION("""COMPUTED_VALUE"""),"")</f>
        <v/>
      </c>
      <c r="V116" s="82"/>
      <c r="W116" s="83"/>
      <c r="X116" s="75" t="str">
        <f ca="1">IFERROR(__xludf.DUMMYFUNCTION("""COMPUTED_VALUE"""),"")</f>
        <v/>
      </c>
      <c r="Y116" s="82"/>
      <c r="Z116" s="83"/>
      <c r="AA116" s="75" t="str">
        <f ca="1">IFERROR(__xludf.DUMMYFUNCTION("""COMPUTED_VALUE"""),"")</f>
        <v/>
      </c>
      <c r="AB116" s="82"/>
      <c r="AC116" s="83"/>
      <c r="AD116" s="75" t="str">
        <f ca="1">IFERROR(__xludf.DUMMYFUNCTION("""COMPUTED_VALUE"""),"")</f>
        <v/>
      </c>
      <c r="AE116" s="82"/>
      <c r="AF116" s="83"/>
      <c r="AG116" s="75" t="str">
        <f ca="1">IFERROR(__xludf.DUMMYFUNCTION("""COMPUTED_VALUE"""),"")</f>
        <v/>
      </c>
      <c r="AH116" s="82"/>
      <c r="AI116" s="83"/>
      <c r="AJ116" s="75" t="str">
        <f ca="1">IFERROR(__xludf.DUMMYFUNCTION("""COMPUTED_VALUE"""),"")</f>
        <v/>
      </c>
      <c r="AK116" s="82"/>
      <c r="AL116" s="83"/>
      <c r="AM116" s="75" t="str">
        <f ca="1">IFERROR(__xludf.DUMMYFUNCTION("""COMPUTED_VALUE"""),"")</f>
        <v/>
      </c>
      <c r="AN116" s="82"/>
      <c r="AO116" s="83"/>
      <c r="AP116" s="75" t="str">
        <f ca="1">IFERROR(__xludf.DUMMYFUNCTION("""COMPUTED_VALUE"""),"")</f>
        <v/>
      </c>
      <c r="AQ116" s="82"/>
      <c r="AR116" s="83"/>
      <c r="AS116" s="75" t="str">
        <f ca="1">IFERROR(__xludf.DUMMYFUNCTION("""COMPUTED_VALUE"""),"")</f>
        <v/>
      </c>
      <c r="AT116" s="82"/>
      <c r="AU116" s="83"/>
      <c r="AV116" s="75" t="str">
        <f ca="1">IFERROR(__xludf.DUMMYFUNCTION("""COMPUTED_VALUE"""),"")</f>
        <v/>
      </c>
      <c r="AW116" s="82"/>
      <c r="AX116" s="83"/>
      <c r="AY116" s="75" t="str">
        <f ca="1">IFERROR(__xludf.DUMMYFUNCTION("""COMPUTED_VALUE"""),"")</f>
        <v/>
      </c>
      <c r="AZ116" s="82"/>
      <c r="BA116" s="83"/>
      <c r="BB116" s="75" t="str">
        <f ca="1">IFERROR(__xludf.DUMMYFUNCTION("""COMPUTED_VALUE"""),"")</f>
        <v/>
      </c>
      <c r="BC116" s="82"/>
      <c r="BD116" s="83"/>
      <c r="BE116" s="75" t="str">
        <f ca="1">IFERROR(__xludf.DUMMYFUNCTION("""COMPUTED_VALUE"""),"")</f>
        <v/>
      </c>
      <c r="BF116" s="82"/>
      <c r="BG116" s="83"/>
      <c r="BH116" s="75" t="str">
        <f ca="1">IFERROR(__xludf.DUMMYFUNCTION("""COMPUTED_VALUE"""),"")</f>
        <v/>
      </c>
      <c r="BI116" s="46"/>
    </row>
    <row r="117" spans="1:61" ht="22.5" customHeight="1" x14ac:dyDescent="0.25">
      <c r="A117" s="46"/>
      <c r="B117" s="85"/>
      <c r="C117" s="75"/>
      <c r="D117" s="75"/>
      <c r="E117" s="75"/>
      <c r="F117" s="76"/>
      <c r="G117" s="77" t="str">
        <f ca="1">IFERROR(__xludf.DUMMYFUNCTION("""COMPUTED_VALUE"""),"")</f>
        <v/>
      </c>
      <c r="H117" s="78" t="str">
        <f ca="1">IFERROR(__xludf.DUMMYFUNCTION("""COMPUTED_VALUE"""),"")</f>
        <v/>
      </c>
      <c r="I117" s="79" t="str">
        <f ca="1">IFERROR(__xludf.DUMMYFUNCTION("""COMPUTED_VALUE"""),"")</f>
        <v/>
      </c>
      <c r="J117" s="264"/>
      <c r="K117" s="82" t="str">
        <f ca="1">IFERROR(__xludf.DUMMYFUNCTION("""COMPUTED_VALUE"""),"")</f>
        <v/>
      </c>
      <c r="L117" s="81" t="str">
        <f ca="1">IFERROR(__xludf.DUMMYFUNCTION("""COMPUTED_VALUE"""),"")</f>
        <v/>
      </c>
      <c r="M117" s="82"/>
      <c r="N117" s="83"/>
      <c r="O117" s="75" t="str">
        <f ca="1">IFERROR(__xludf.DUMMYFUNCTION("""COMPUTED_VALUE"""),"")</f>
        <v/>
      </c>
      <c r="P117" s="82"/>
      <c r="Q117" s="83"/>
      <c r="R117" s="75" t="str">
        <f ca="1">IFERROR(__xludf.DUMMYFUNCTION("""COMPUTED_VALUE"""),"")</f>
        <v/>
      </c>
      <c r="S117" s="82"/>
      <c r="T117" s="83"/>
      <c r="U117" s="75" t="str">
        <f ca="1">IFERROR(__xludf.DUMMYFUNCTION("""COMPUTED_VALUE"""),"")</f>
        <v/>
      </c>
      <c r="V117" s="82"/>
      <c r="W117" s="83"/>
      <c r="X117" s="75" t="str">
        <f ca="1">IFERROR(__xludf.DUMMYFUNCTION("""COMPUTED_VALUE"""),"")</f>
        <v/>
      </c>
      <c r="Y117" s="82"/>
      <c r="Z117" s="83"/>
      <c r="AA117" s="75" t="str">
        <f ca="1">IFERROR(__xludf.DUMMYFUNCTION("""COMPUTED_VALUE"""),"")</f>
        <v/>
      </c>
      <c r="AB117" s="82"/>
      <c r="AC117" s="83"/>
      <c r="AD117" s="75" t="str">
        <f ca="1">IFERROR(__xludf.DUMMYFUNCTION("""COMPUTED_VALUE"""),"")</f>
        <v/>
      </c>
      <c r="AE117" s="82"/>
      <c r="AF117" s="83"/>
      <c r="AG117" s="75" t="str">
        <f ca="1">IFERROR(__xludf.DUMMYFUNCTION("""COMPUTED_VALUE"""),"")</f>
        <v/>
      </c>
      <c r="AH117" s="82"/>
      <c r="AI117" s="83"/>
      <c r="AJ117" s="75" t="str">
        <f ca="1">IFERROR(__xludf.DUMMYFUNCTION("""COMPUTED_VALUE"""),"")</f>
        <v/>
      </c>
      <c r="AK117" s="82"/>
      <c r="AL117" s="83"/>
      <c r="AM117" s="75" t="str">
        <f ca="1">IFERROR(__xludf.DUMMYFUNCTION("""COMPUTED_VALUE"""),"")</f>
        <v/>
      </c>
      <c r="AN117" s="82"/>
      <c r="AO117" s="83"/>
      <c r="AP117" s="75" t="str">
        <f ca="1">IFERROR(__xludf.DUMMYFUNCTION("""COMPUTED_VALUE"""),"")</f>
        <v/>
      </c>
      <c r="AQ117" s="82"/>
      <c r="AR117" s="83"/>
      <c r="AS117" s="75" t="str">
        <f ca="1">IFERROR(__xludf.DUMMYFUNCTION("""COMPUTED_VALUE"""),"")</f>
        <v/>
      </c>
      <c r="AT117" s="82"/>
      <c r="AU117" s="83"/>
      <c r="AV117" s="75" t="str">
        <f ca="1">IFERROR(__xludf.DUMMYFUNCTION("""COMPUTED_VALUE"""),"")</f>
        <v/>
      </c>
      <c r="AW117" s="82"/>
      <c r="AX117" s="83"/>
      <c r="AY117" s="75" t="str">
        <f ca="1">IFERROR(__xludf.DUMMYFUNCTION("""COMPUTED_VALUE"""),"")</f>
        <v/>
      </c>
      <c r="AZ117" s="82"/>
      <c r="BA117" s="83"/>
      <c r="BB117" s="75" t="str">
        <f ca="1">IFERROR(__xludf.DUMMYFUNCTION("""COMPUTED_VALUE"""),"")</f>
        <v/>
      </c>
      <c r="BC117" s="82"/>
      <c r="BD117" s="83"/>
      <c r="BE117" s="75" t="str">
        <f ca="1">IFERROR(__xludf.DUMMYFUNCTION("""COMPUTED_VALUE"""),"")</f>
        <v/>
      </c>
      <c r="BF117" s="82"/>
      <c r="BG117" s="83"/>
      <c r="BH117" s="75" t="str">
        <f ca="1">IFERROR(__xludf.DUMMYFUNCTION("""COMPUTED_VALUE"""),"")</f>
        <v/>
      </c>
      <c r="BI117" s="46"/>
    </row>
    <row r="118" spans="1:61" ht="22.5" customHeight="1" x14ac:dyDescent="0.25">
      <c r="A118" s="46"/>
      <c r="B118" s="85"/>
      <c r="C118" s="75"/>
      <c r="D118" s="75"/>
      <c r="E118" s="75"/>
      <c r="F118" s="76"/>
      <c r="G118" s="77" t="str">
        <f ca="1">IFERROR(__xludf.DUMMYFUNCTION("""COMPUTED_VALUE"""),"")</f>
        <v/>
      </c>
      <c r="H118" s="78" t="str">
        <f ca="1">IFERROR(__xludf.DUMMYFUNCTION("""COMPUTED_VALUE"""),"")</f>
        <v/>
      </c>
      <c r="I118" s="79" t="str">
        <f ca="1">IFERROR(__xludf.DUMMYFUNCTION("""COMPUTED_VALUE"""),"")</f>
        <v/>
      </c>
      <c r="J118" s="264"/>
      <c r="K118" s="82" t="str">
        <f ca="1">IFERROR(__xludf.DUMMYFUNCTION("""COMPUTED_VALUE"""),"")</f>
        <v/>
      </c>
      <c r="L118" s="81" t="str">
        <f ca="1">IFERROR(__xludf.DUMMYFUNCTION("""COMPUTED_VALUE"""),"")</f>
        <v/>
      </c>
      <c r="M118" s="82"/>
      <c r="N118" s="83"/>
      <c r="O118" s="75" t="str">
        <f ca="1">IFERROR(__xludf.DUMMYFUNCTION("""COMPUTED_VALUE"""),"")</f>
        <v/>
      </c>
      <c r="P118" s="82"/>
      <c r="Q118" s="83"/>
      <c r="R118" s="75" t="str">
        <f ca="1">IFERROR(__xludf.DUMMYFUNCTION("""COMPUTED_VALUE"""),"")</f>
        <v/>
      </c>
      <c r="S118" s="82"/>
      <c r="T118" s="83"/>
      <c r="U118" s="75" t="str">
        <f ca="1">IFERROR(__xludf.DUMMYFUNCTION("""COMPUTED_VALUE"""),"")</f>
        <v/>
      </c>
      <c r="V118" s="82"/>
      <c r="W118" s="83"/>
      <c r="X118" s="75" t="str">
        <f ca="1">IFERROR(__xludf.DUMMYFUNCTION("""COMPUTED_VALUE"""),"")</f>
        <v/>
      </c>
      <c r="Y118" s="82"/>
      <c r="Z118" s="83"/>
      <c r="AA118" s="75" t="str">
        <f ca="1">IFERROR(__xludf.DUMMYFUNCTION("""COMPUTED_VALUE"""),"")</f>
        <v/>
      </c>
      <c r="AB118" s="82"/>
      <c r="AC118" s="83"/>
      <c r="AD118" s="75" t="str">
        <f ca="1">IFERROR(__xludf.DUMMYFUNCTION("""COMPUTED_VALUE"""),"")</f>
        <v/>
      </c>
      <c r="AE118" s="82"/>
      <c r="AF118" s="83"/>
      <c r="AG118" s="75" t="str">
        <f ca="1">IFERROR(__xludf.DUMMYFUNCTION("""COMPUTED_VALUE"""),"")</f>
        <v/>
      </c>
      <c r="AH118" s="82"/>
      <c r="AI118" s="83"/>
      <c r="AJ118" s="75" t="str">
        <f ca="1">IFERROR(__xludf.DUMMYFUNCTION("""COMPUTED_VALUE"""),"")</f>
        <v/>
      </c>
      <c r="AK118" s="82"/>
      <c r="AL118" s="83"/>
      <c r="AM118" s="75" t="str">
        <f ca="1">IFERROR(__xludf.DUMMYFUNCTION("""COMPUTED_VALUE"""),"")</f>
        <v/>
      </c>
      <c r="AN118" s="82"/>
      <c r="AO118" s="83"/>
      <c r="AP118" s="75" t="str">
        <f ca="1">IFERROR(__xludf.DUMMYFUNCTION("""COMPUTED_VALUE"""),"")</f>
        <v/>
      </c>
      <c r="AQ118" s="82"/>
      <c r="AR118" s="83"/>
      <c r="AS118" s="75" t="str">
        <f ca="1">IFERROR(__xludf.DUMMYFUNCTION("""COMPUTED_VALUE"""),"")</f>
        <v/>
      </c>
      <c r="AT118" s="82"/>
      <c r="AU118" s="83"/>
      <c r="AV118" s="75" t="str">
        <f ca="1">IFERROR(__xludf.DUMMYFUNCTION("""COMPUTED_VALUE"""),"")</f>
        <v/>
      </c>
      <c r="AW118" s="82"/>
      <c r="AX118" s="83"/>
      <c r="AY118" s="75" t="str">
        <f ca="1">IFERROR(__xludf.DUMMYFUNCTION("""COMPUTED_VALUE"""),"")</f>
        <v/>
      </c>
      <c r="AZ118" s="82"/>
      <c r="BA118" s="83"/>
      <c r="BB118" s="75" t="str">
        <f ca="1">IFERROR(__xludf.DUMMYFUNCTION("""COMPUTED_VALUE"""),"")</f>
        <v/>
      </c>
      <c r="BC118" s="82"/>
      <c r="BD118" s="83"/>
      <c r="BE118" s="75" t="str">
        <f ca="1">IFERROR(__xludf.DUMMYFUNCTION("""COMPUTED_VALUE"""),"")</f>
        <v/>
      </c>
      <c r="BF118" s="82"/>
      <c r="BG118" s="83"/>
      <c r="BH118" s="75" t="str">
        <f ca="1">IFERROR(__xludf.DUMMYFUNCTION("""COMPUTED_VALUE"""),"")</f>
        <v/>
      </c>
      <c r="BI118" s="46"/>
    </row>
    <row r="119" spans="1:61" ht="22.5" customHeight="1" x14ac:dyDescent="0.25">
      <c r="A119" s="46"/>
      <c r="B119" s="85"/>
      <c r="C119" s="75"/>
      <c r="D119" s="75"/>
      <c r="E119" s="75"/>
      <c r="F119" s="76"/>
      <c r="G119" s="77" t="str">
        <f ca="1">IFERROR(__xludf.DUMMYFUNCTION("""COMPUTED_VALUE"""),"")</f>
        <v/>
      </c>
      <c r="H119" s="78" t="str">
        <f ca="1">IFERROR(__xludf.DUMMYFUNCTION("""COMPUTED_VALUE"""),"")</f>
        <v/>
      </c>
      <c r="I119" s="79" t="str">
        <f ca="1">IFERROR(__xludf.DUMMYFUNCTION("""COMPUTED_VALUE"""),"")</f>
        <v/>
      </c>
      <c r="J119" s="264"/>
      <c r="K119" s="82" t="str">
        <f ca="1">IFERROR(__xludf.DUMMYFUNCTION("""COMPUTED_VALUE"""),"")</f>
        <v/>
      </c>
      <c r="L119" s="81" t="str">
        <f ca="1">IFERROR(__xludf.DUMMYFUNCTION("""COMPUTED_VALUE"""),"")</f>
        <v/>
      </c>
      <c r="M119" s="82"/>
      <c r="N119" s="83"/>
      <c r="O119" s="75" t="str">
        <f ca="1">IFERROR(__xludf.DUMMYFUNCTION("""COMPUTED_VALUE"""),"")</f>
        <v/>
      </c>
      <c r="P119" s="82"/>
      <c r="Q119" s="83"/>
      <c r="R119" s="75" t="str">
        <f ca="1">IFERROR(__xludf.DUMMYFUNCTION("""COMPUTED_VALUE"""),"")</f>
        <v/>
      </c>
      <c r="S119" s="82"/>
      <c r="T119" s="83"/>
      <c r="U119" s="75" t="str">
        <f ca="1">IFERROR(__xludf.DUMMYFUNCTION("""COMPUTED_VALUE"""),"")</f>
        <v/>
      </c>
      <c r="V119" s="82"/>
      <c r="W119" s="83"/>
      <c r="X119" s="75" t="str">
        <f ca="1">IFERROR(__xludf.DUMMYFUNCTION("""COMPUTED_VALUE"""),"")</f>
        <v/>
      </c>
      <c r="Y119" s="82"/>
      <c r="Z119" s="83"/>
      <c r="AA119" s="75" t="str">
        <f ca="1">IFERROR(__xludf.DUMMYFUNCTION("""COMPUTED_VALUE"""),"")</f>
        <v/>
      </c>
      <c r="AB119" s="82"/>
      <c r="AC119" s="83"/>
      <c r="AD119" s="75" t="str">
        <f ca="1">IFERROR(__xludf.DUMMYFUNCTION("""COMPUTED_VALUE"""),"")</f>
        <v/>
      </c>
      <c r="AE119" s="82"/>
      <c r="AF119" s="83"/>
      <c r="AG119" s="75" t="str">
        <f ca="1">IFERROR(__xludf.DUMMYFUNCTION("""COMPUTED_VALUE"""),"")</f>
        <v/>
      </c>
      <c r="AH119" s="82"/>
      <c r="AI119" s="83"/>
      <c r="AJ119" s="75" t="str">
        <f ca="1">IFERROR(__xludf.DUMMYFUNCTION("""COMPUTED_VALUE"""),"")</f>
        <v/>
      </c>
      <c r="AK119" s="82"/>
      <c r="AL119" s="83"/>
      <c r="AM119" s="75" t="str">
        <f ca="1">IFERROR(__xludf.DUMMYFUNCTION("""COMPUTED_VALUE"""),"")</f>
        <v/>
      </c>
      <c r="AN119" s="82"/>
      <c r="AO119" s="83"/>
      <c r="AP119" s="75" t="str">
        <f ca="1">IFERROR(__xludf.DUMMYFUNCTION("""COMPUTED_VALUE"""),"")</f>
        <v/>
      </c>
      <c r="AQ119" s="82"/>
      <c r="AR119" s="83"/>
      <c r="AS119" s="75" t="str">
        <f ca="1">IFERROR(__xludf.DUMMYFUNCTION("""COMPUTED_VALUE"""),"")</f>
        <v/>
      </c>
      <c r="AT119" s="82"/>
      <c r="AU119" s="83"/>
      <c r="AV119" s="75" t="str">
        <f ca="1">IFERROR(__xludf.DUMMYFUNCTION("""COMPUTED_VALUE"""),"")</f>
        <v/>
      </c>
      <c r="AW119" s="82"/>
      <c r="AX119" s="83"/>
      <c r="AY119" s="75" t="str">
        <f ca="1">IFERROR(__xludf.DUMMYFUNCTION("""COMPUTED_VALUE"""),"")</f>
        <v/>
      </c>
      <c r="AZ119" s="82"/>
      <c r="BA119" s="83"/>
      <c r="BB119" s="75" t="str">
        <f ca="1">IFERROR(__xludf.DUMMYFUNCTION("""COMPUTED_VALUE"""),"")</f>
        <v/>
      </c>
      <c r="BC119" s="82"/>
      <c r="BD119" s="83"/>
      <c r="BE119" s="75" t="str">
        <f ca="1">IFERROR(__xludf.DUMMYFUNCTION("""COMPUTED_VALUE"""),"")</f>
        <v/>
      </c>
      <c r="BF119" s="82"/>
      <c r="BG119" s="83"/>
      <c r="BH119" s="75" t="str">
        <f ca="1">IFERROR(__xludf.DUMMYFUNCTION("""COMPUTED_VALUE"""),"")</f>
        <v/>
      </c>
      <c r="BI119" s="46"/>
    </row>
    <row r="120" spans="1:61" ht="22.5" customHeight="1" x14ac:dyDescent="0.25">
      <c r="A120" s="46"/>
      <c r="B120" s="85"/>
      <c r="C120" s="75"/>
      <c r="D120" s="75"/>
      <c r="E120" s="75"/>
      <c r="F120" s="76"/>
      <c r="G120" s="77" t="str">
        <f ca="1">IFERROR(__xludf.DUMMYFUNCTION("""COMPUTED_VALUE"""),"")</f>
        <v/>
      </c>
      <c r="H120" s="78" t="str">
        <f ca="1">IFERROR(__xludf.DUMMYFUNCTION("""COMPUTED_VALUE"""),"")</f>
        <v/>
      </c>
      <c r="I120" s="79" t="str">
        <f ca="1">IFERROR(__xludf.DUMMYFUNCTION("""COMPUTED_VALUE"""),"")</f>
        <v/>
      </c>
      <c r="J120" s="264"/>
      <c r="K120" s="82" t="str">
        <f ca="1">IFERROR(__xludf.DUMMYFUNCTION("""COMPUTED_VALUE"""),"")</f>
        <v/>
      </c>
      <c r="L120" s="81" t="str">
        <f ca="1">IFERROR(__xludf.DUMMYFUNCTION("""COMPUTED_VALUE"""),"")</f>
        <v/>
      </c>
      <c r="M120" s="82"/>
      <c r="N120" s="83"/>
      <c r="O120" s="75" t="str">
        <f ca="1">IFERROR(__xludf.DUMMYFUNCTION("""COMPUTED_VALUE"""),"")</f>
        <v/>
      </c>
      <c r="P120" s="82"/>
      <c r="Q120" s="83"/>
      <c r="R120" s="75" t="str">
        <f ca="1">IFERROR(__xludf.DUMMYFUNCTION("""COMPUTED_VALUE"""),"")</f>
        <v/>
      </c>
      <c r="S120" s="82"/>
      <c r="T120" s="83"/>
      <c r="U120" s="75" t="str">
        <f ca="1">IFERROR(__xludf.DUMMYFUNCTION("""COMPUTED_VALUE"""),"")</f>
        <v/>
      </c>
      <c r="V120" s="82"/>
      <c r="W120" s="83"/>
      <c r="X120" s="75" t="str">
        <f ca="1">IFERROR(__xludf.DUMMYFUNCTION("""COMPUTED_VALUE"""),"")</f>
        <v/>
      </c>
      <c r="Y120" s="82"/>
      <c r="Z120" s="83"/>
      <c r="AA120" s="75" t="str">
        <f ca="1">IFERROR(__xludf.DUMMYFUNCTION("""COMPUTED_VALUE"""),"")</f>
        <v/>
      </c>
      <c r="AB120" s="82"/>
      <c r="AC120" s="83"/>
      <c r="AD120" s="75" t="str">
        <f ca="1">IFERROR(__xludf.DUMMYFUNCTION("""COMPUTED_VALUE"""),"")</f>
        <v/>
      </c>
      <c r="AE120" s="82"/>
      <c r="AF120" s="83"/>
      <c r="AG120" s="75" t="str">
        <f ca="1">IFERROR(__xludf.DUMMYFUNCTION("""COMPUTED_VALUE"""),"")</f>
        <v/>
      </c>
      <c r="AH120" s="82"/>
      <c r="AI120" s="83"/>
      <c r="AJ120" s="75" t="str">
        <f ca="1">IFERROR(__xludf.DUMMYFUNCTION("""COMPUTED_VALUE"""),"")</f>
        <v/>
      </c>
      <c r="AK120" s="82"/>
      <c r="AL120" s="83"/>
      <c r="AM120" s="75" t="str">
        <f ca="1">IFERROR(__xludf.DUMMYFUNCTION("""COMPUTED_VALUE"""),"")</f>
        <v/>
      </c>
      <c r="AN120" s="82"/>
      <c r="AO120" s="83"/>
      <c r="AP120" s="75" t="str">
        <f ca="1">IFERROR(__xludf.DUMMYFUNCTION("""COMPUTED_VALUE"""),"")</f>
        <v/>
      </c>
      <c r="AQ120" s="82"/>
      <c r="AR120" s="83"/>
      <c r="AS120" s="75" t="str">
        <f ca="1">IFERROR(__xludf.DUMMYFUNCTION("""COMPUTED_VALUE"""),"")</f>
        <v/>
      </c>
      <c r="AT120" s="82"/>
      <c r="AU120" s="83"/>
      <c r="AV120" s="75" t="str">
        <f ca="1">IFERROR(__xludf.DUMMYFUNCTION("""COMPUTED_VALUE"""),"")</f>
        <v/>
      </c>
      <c r="AW120" s="82"/>
      <c r="AX120" s="83"/>
      <c r="AY120" s="75" t="str">
        <f ca="1">IFERROR(__xludf.DUMMYFUNCTION("""COMPUTED_VALUE"""),"")</f>
        <v/>
      </c>
      <c r="AZ120" s="82"/>
      <c r="BA120" s="83"/>
      <c r="BB120" s="75" t="str">
        <f ca="1">IFERROR(__xludf.DUMMYFUNCTION("""COMPUTED_VALUE"""),"")</f>
        <v/>
      </c>
      <c r="BC120" s="82"/>
      <c r="BD120" s="83"/>
      <c r="BE120" s="75" t="str">
        <f ca="1">IFERROR(__xludf.DUMMYFUNCTION("""COMPUTED_VALUE"""),"")</f>
        <v/>
      </c>
      <c r="BF120" s="82"/>
      <c r="BG120" s="83"/>
      <c r="BH120" s="75" t="str">
        <f ca="1">IFERROR(__xludf.DUMMYFUNCTION("""COMPUTED_VALUE"""),"")</f>
        <v/>
      </c>
      <c r="BI120" s="46"/>
    </row>
    <row r="121" spans="1:61" ht="22.5" customHeight="1" x14ac:dyDescent="0.25">
      <c r="A121" s="46"/>
      <c r="B121" s="85"/>
      <c r="C121" s="75"/>
      <c r="D121" s="75"/>
      <c r="E121" s="75"/>
      <c r="F121" s="76"/>
      <c r="G121" s="77" t="str">
        <f ca="1">IFERROR(__xludf.DUMMYFUNCTION("""COMPUTED_VALUE"""),"")</f>
        <v/>
      </c>
      <c r="H121" s="78" t="str">
        <f ca="1">IFERROR(__xludf.DUMMYFUNCTION("""COMPUTED_VALUE"""),"")</f>
        <v/>
      </c>
      <c r="I121" s="79" t="str">
        <f ca="1">IFERROR(__xludf.DUMMYFUNCTION("""COMPUTED_VALUE"""),"")</f>
        <v/>
      </c>
      <c r="J121" s="264"/>
      <c r="K121" s="82" t="str">
        <f ca="1">IFERROR(__xludf.DUMMYFUNCTION("""COMPUTED_VALUE"""),"")</f>
        <v/>
      </c>
      <c r="L121" s="81" t="str">
        <f ca="1">IFERROR(__xludf.DUMMYFUNCTION("""COMPUTED_VALUE"""),"")</f>
        <v/>
      </c>
      <c r="M121" s="82"/>
      <c r="N121" s="83"/>
      <c r="O121" s="75" t="str">
        <f ca="1">IFERROR(__xludf.DUMMYFUNCTION("""COMPUTED_VALUE"""),"")</f>
        <v/>
      </c>
      <c r="P121" s="82"/>
      <c r="Q121" s="83"/>
      <c r="R121" s="75" t="str">
        <f ca="1">IFERROR(__xludf.DUMMYFUNCTION("""COMPUTED_VALUE"""),"")</f>
        <v/>
      </c>
      <c r="S121" s="82"/>
      <c r="T121" s="83"/>
      <c r="U121" s="75" t="str">
        <f ca="1">IFERROR(__xludf.DUMMYFUNCTION("""COMPUTED_VALUE"""),"")</f>
        <v/>
      </c>
      <c r="V121" s="82"/>
      <c r="W121" s="83"/>
      <c r="X121" s="75" t="str">
        <f ca="1">IFERROR(__xludf.DUMMYFUNCTION("""COMPUTED_VALUE"""),"")</f>
        <v/>
      </c>
      <c r="Y121" s="82"/>
      <c r="Z121" s="83"/>
      <c r="AA121" s="75" t="str">
        <f ca="1">IFERROR(__xludf.DUMMYFUNCTION("""COMPUTED_VALUE"""),"")</f>
        <v/>
      </c>
      <c r="AB121" s="82"/>
      <c r="AC121" s="83"/>
      <c r="AD121" s="75" t="str">
        <f ca="1">IFERROR(__xludf.DUMMYFUNCTION("""COMPUTED_VALUE"""),"")</f>
        <v/>
      </c>
      <c r="AE121" s="82"/>
      <c r="AF121" s="83"/>
      <c r="AG121" s="75" t="str">
        <f ca="1">IFERROR(__xludf.DUMMYFUNCTION("""COMPUTED_VALUE"""),"")</f>
        <v/>
      </c>
      <c r="AH121" s="82"/>
      <c r="AI121" s="83"/>
      <c r="AJ121" s="75" t="str">
        <f ca="1">IFERROR(__xludf.DUMMYFUNCTION("""COMPUTED_VALUE"""),"")</f>
        <v/>
      </c>
      <c r="AK121" s="82"/>
      <c r="AL121" s="83"/>
      <c r="AM121" s="75" t="str">
        <f ca="1">IFERROR(__xludf.DUMMYFUNCTION("""COMPUTED_VALUE"""),"")</f>
        <v/>
      </c>
      <c r="AN121" s="82"/>
      <c r="AO121" s="83"/>
      <c r="AP121" s="75" t="str">
        <f ca="1">IFERROR(__xludf.DUMMYFUNCTION("""COMPUTED_VALUE"""),"")</f>
        <v/>
      </c>
      <c r="AQ121" s="82"/>
      <c r="AR121" s="83"/>
      <c r="AS121" s="75" t="str">
        <f ca="1">IFERROR(__xludf.DUMMYFUNCTION("""COMPUTED_VALUE"""),"")</f>
        <v/>
      </c>
      <c r="AT121" s="82"/>
      <c r="AU121" s="83"/>
      <c r="AV121" s="75" t="str">
        <f ca="1">IFERROR(__xludf.DUMMYFUNCTION("""COMPUTED_VALUE"""),"")</f>
        <v/>
      </c>
      <c r="AW121" s="82"/>
      <c r="AX121" s="83"/>
      <c r="AY121" s="75" t="str">
        <f ca="1">IFERROR(__xludf.DUMMYFUNCTION("""COMPUTED_VALUE"""),"")</f>
        <v/>
      </c>
      <c r="AZ121" s="82"/>
      <c r="BA121" s="83"/>
      <c r="BB121" s="75" t="str">
        <f ca="1">IFERROR(__xludf.DUMMYFUNCTION("""COMPUTED_VALUE"""),"")</f>
        <v/>
      </c>
      <c r="BC121" s="82"/>
      <c r="BD121" s="83"/>
      <c r="BE121" s="75" t="str">
        <f ca="1">IFERROR(__xludf.DUMMYFUNCTION("""COMPUTED_VALUE"""),"")</f>
        <v/>
      </c>
      <c r="BF121" s="82"/>
      <c r="BG121" s="83"/>
      <c r="BH121" s="75" t="str">
        <f ca="1">IFERROR(__xludf.DUMMYFUNCTION("""COMPUTED_VALUE"""),"")</f>
        <v/>
      </c>
      <c r="BI121" s="46"/>
    </row>
    <row r="122" spans="1:61" ht="22.5" customHeight="1" x14ac:dyDescent="0.25">
      <c r="A122" s="46"/>
      <c r="B122" s="85"/>
      <c r="C122" s="75"/>
      <c r="D122" s="75"/>
      <c r="E122" s="75"/>
      <c r="F122" s="76"/>
      <c r="G122" s="77" t="str">
        <f ca="1">IFERROR(__xludf.DUMMYFUNCTION("""COMPUTED_VALUE"""),"")</f>
        <v/>
      </c>
      <c r="H122" s="78" t="str">
        <f ca="1">IFERROR(__xludf.DUMMYFUNCTION("""COMPUTED_VALUE"""),"")</f>
        <v/>
      </c>
      <c r="I122" s="79" t="str">
        <f ca="1">IFERROR(__xludf.DUMMYFUNCTION("""COMPUTED_VALUE"""),"")</f>
        <v/>
      </c>
      <c r="J122" s="264"/>
      <c r="K122" s="82" t="str">
        <f ca="1">IFERROR(__xludf.DUMMYFUNCTION("""COMPUTED_VALUE"""),"")</f>
        <v/>
      </c>
      <c r="L122" s="81" t="str">
        <f ca="1">IFERROR(__xludf.DUMMYFUNCTION("""COMPUTED_VALUE"""),"")</f>
        <v/>
      </c>
      <c r="M122" s="82"/>
      <c r="N122" s="83"/>
      <c r="O122" s="75" t="str">
        <f ca="1">IFERROR(__xludf.DUMMYFUNCTION("""COMPUTED_VALUE"""),"")</f>
        <v/>
      </c>
      <c r="P122" s="82"/>
      <c r="Q122" s="83"/>
      <c r="R122" s="75" t="str">
        <f ca="1">IFERROR(__xludf.DUMMYFUNCTION("""COMPUTED_VALUE"""),"")</f>
        <v/>
      </c>
      <c r="S122" s="82"/>
      <c r="T122" s="83"/>
      <c r="U122" s="75" t="str">
        <f ca="1">IFERROR(__xludf.DUMMYFUNCTION("""COMPUTED_VALUE"""),"")</f>
        <v/>
      </c>
      <c r="V122" s="82"/>
      <c r="W122" s="83"/>
      <c r="X122" s="75" t="str">
        <f ca="1">IFERROR(__xludf.DUMMYFUNCTION("""COMPUTED_VALUE"""),"")</f>
        <v/>
      </c>
      <c r="Y122" s="82"/>
      <c r="Z122" s="83"/>
      <c r="AA122" s="75" t="str">
        <f ca="1">IFERROR(__xludf.DUMMYFUNCTION("""COMPUTED_VALUE"""),"")</f>
        <v/>
      </c>
      <c r="AB122" s="82"/>
      <c r="AC122" s="83"/>
      <c r="AD122" s="75" t="str">
        <f ca="1">IFERROR(__xludf.DUMMYFUNCTION("""COMPUTED_VALUE"""),"")</f>
        <v/>
      </c>
      <c r="AE122" s="82"/>
      <c r="AF122" s="83"/>
      <c r="AG122" s="75" t="str">
        <f ca="1">IFERROR(__xludf.DUMMYFUNCTION("""COMPUTED_VALUE"""),"")</f>
        <v/>
      </c>
      <c r="AH122" s="82"/>
      <c r="AI122" s="83"/>
      <c r="AJ122" s="75" t="str">
        <f ca="1">IFERROR(__xludf.DUMMYFUNCTION("""COMPUTED_VALUE"""),"")</f>
        <v/>
      </c>
      <c r="AK122" s="82"/>
      <c r="AL122" s="83"/>
      <c r="AM122" s="75" t="str">
        <f ca="1">IFERROR(__xludf.DUMMYFUNCTION("""COMPUTED_VALUE"""),"")</f>
        <v/>
      </c>
      <c r="AN122" s="82"/>
      <c r="AO122" s="83"/>
      <c r="AP122" s="75" t="str">
        <f ca="1">IFERROR(__xludf.DUMMYFUNCTION("""COMPUTED_VALUE"""),"")</f>
        <v/>
      </c>
      <c r="AQ122" s="82"/>
      <c r="AR122" s="83"/>
      <c r="AS122" s="75" t="str">
        <f ca="1">IFERROR(__xludf.DUMMYFUNCTION("""COMPUTED_VALUE"""),"")</f>
        <v/>
      </c>
      <c r="AT122" s="82"/>
      <c r="AU122" s="83"/>
      <c r="AV122" s="75" t="str">
        <f ca="1">IFERROR(__xludf.DUMMYFUNCTION("""COMPUTED_VALUE"""),"")</f>
        <v/>
      </c>
      <c r="AW122" s="82"/>
      <c r="AX122" s="83"/>
      <c r="AY122" s="75" t="str">
        <f ca="1">IFERROR(__xludf.DUMMYFUNCTION("""COMPUTED_VALUE"""),"")</f>
        <v/>
      </c>
      <c r="AZ122" s="82"/>
      <c r="BA122" s="83"/>
      <c r="BB122" s="75" t="str">
        <f ca="1">IFERROR(__xludf.DUMMYFUNCTION("""COMPUTED_VALUE"""),"")</f>
        <v/>
      </c>
      <c r="BC122" s="82"/>
      <c r="BD122" s="83"/>
      <c r="BE122" s="75" t="str">
        <f ca="1">IFERROR(__xludf.DUMMYFUNCTION("""COMPUTED_VALUE"""),"")</f>
        <v/>
      </c>
      <c r="BF122" s="82"/>
      <c r="BG122" s="83"/>
      <c r="BH122" s="75" t="str">
        <f ca="1">IFERROR(__xludf.DUMMYFUNCTION("""COMPUTED_VALUE"""),"")</f>
        <v/>
      </c>
      <c r="BI122" s="46"/>
    </row>
    <row r="123" spans="1:61" ht="22.5" customHeight="1" x14ac:dyDescent="0.25">
      <c r="A123" s="46"/>
      <c r="B123" s="85"/>
      <c r="C123" s="75"/>
      <c r="D123" s="75"/>
      <c r="E123" s="75"/>
      <c r="F123" s="76"/>
      <c r="G123" s="77" t="str">
        <f ca="1">IFERROR(__xludf.DUMMYFUNCTION("""COMPUTED_VALUE"""),"")</f>
        <v/>
      </c>
      <c r="H123" s="78" t="str">
        <f ca="1">IFERROR(__xludf.DUMMYFUNCTION("""COMPUTED_VALUE"""),"")</f>
        <v/>
      </c>
      <c r="I123" s="79" t="str">
        <f ca="1">IFERROR(__xludf.DUMMYFUNCTION("""COMPUTED_VALUE"""),"")</f>
        <v/>
      </c>
      <c r="J123" s="264"/>
      <c r="K123" s="82" t="str">
        <f ca="1">IFERROR(__xludf.DUMMYFUNCTION("""COMPUTED_VALUE"""),"")</f>
        <v/>
      </c>
      <c r="L123" s="81" t="str">
        <f ca="1">IFERROR(__xludf.DUMMYFUNCTION("""COMPUTED_VALUE"""),"")</f>
        <v/>
      </c>
      <c r="M123" s="82"/>
      <c r="N123" s="83"/>
      <c r="O123" s="75" t="str">
        <f ca="1">IFERROR(__xludf.DUMMYFUNCTION("""COMPUTED_VALUE"""),"")</f>
        <v/>
      </c>
      <c r="P123" s="82"/>
      <c r="Q123" s="83"/>
      <c r="R123" s="75" t="str">
        <f ca="1">IFERROR(__xludf.DUMMYFUNCTION("""COMPUTED_VALUE"""),"")</f>
        <v/>
      </c>
      <c r="S123" s="82"/>
      <c r="T123" s="83"/>
      <c r="U123" s="75" t="str">
        <f ca="1">IFERROR(__xludf.DUMMYFUNCTION("""COMPUTED_VALUE"""),"")</f>
        <v/>
      </c>
      <c r="V123" s="82"/>
      <c r="W123" s="83"/>
      <c r="X123" s="75" t="str">
        <f ca="1">IFERROR(__xludf.DUMMYFUNCTION("""COMPUTED_VALUE"""),"")</f>
        <v/>
      </c>
      <c r="Y123" s="82"/>
      <c r="Z123" s="83"/>
      <c r="AA123" s="75" t="str">
        <f ca="1">IFERROR(__xludf.DUMMYFUNCTION("""COMPUTED_VALUE"""),"")</f>
        <v/>
      </c>
      <c r="AB123" s="82"/>
      <c r="AC123" s="83"/>
      <c r="AD123" s="75" t="str">
        <f ca="1">IFERROR(__xludf.DUMMYFUNCTION("""COMPUTED_VALUE"""),"")</f>
        <v/>
      </c>
      <c r="AE123" s="82"/>
      <c r="AF123" s="83"/>
      <c r="AG123" s="75" t="str">
        <f ca="1">IFERROR(__xludf.DUMMYFUNCTION("""COMPUTED_VALUE"""),"")</f>
        <v/>
      </c>
      <c r="AH123" s="82"/>
      <c r="AI123" s="83"/>
      <c r="AJ123" s="75" t="str">
        <f ca="1">IFERROR(__xludf.DUMMYFUNCTION("""COMPUTED_VALUE"""),"")</f>
        <v/>
      </c>
      <c r="AK123" s="82"/>
      <c r="AL123" s="83"/>
      <c r="AM123" s="75" t="str">
        <f ca="1">IFERROR(__xludf.DUMMYFUNCTION("""COMPUTED_VALUE"""),"")</f>
        <v/>
      </c>
      <c r="AN123" s="82"/>
      <c r="AO123" s="83"/>
      <c r="AP123" s="75" t="str">
        <f ca="1">IFERROR(__xludf.DUMMYFUNCTION("""COMPUTED_VALUE"""),"")</f>
        <v/>
      </c>
      <c r="AQ123" s="82"/>
      <c r="AR123" s="83"/>
      <c r="AS123" s="75" t="str">
        <f ca="1">IFERROR(__xludf.DUMMYFUNCTION("""COMPUTED_VALUE"""),"")</f>
        <v/>
      </c>
      <c r="AT123" s="82"/>
      <c r="AU123" s="83"/>
      <c r="AV123" s="75" t="str">
        <f ca="1">IFERROR(__xludf.DUMMYFUNCTION("""COMPUTED_VALUE"""),"")</f>
        <v/>
      </c>
      <c r="AW123" s="82"/>
      <c r="AX123" s="83"/>
      <c r="AY123" s="75" t="str">
        <f ca="1">IFERROR(__xludf.DUMMYFUNCTION("""COMPUTED_VALUE"""),"")</f>
        <v/>
      </c>
      <c r="AZ123" s="82"/>
      <c r="BA123" s="83"/>
      <c r="BB123" s="75" t="str">
        <f ca="1">IFERROR(__xludf.DUMMYFUNCTION("""COMPUTED_VALUE"""),"")</f>
        <v/>
      </c>
      <c r="BC123" s="82"/>
      <c r="BD123" s="83"/>
      <c r="BE123" s="75" t="str">
        <f ca="1">IFERROR(__xludf.DUMMYFUNCTION("""COMPUTED_VALUE"""),"")</f>
        <v/>
      </c>
      <c r="BF123" s="82"/>
      <c r="BG123" s="83"/>
      <c r="BH123" s="75" t="str">
        <f ca="1">IFERROR(__xludf.DUMMYFUNCTION("""COMPUTED_VALUE"""),"")</f>
        <v/>
      </c>
      <c r="BI123" s="46"/>
    </row>
    <row r="124" spans="1:61" ht="22.5" customHeight="1" x14ac:dyDescent="0.25">
      <c r="A124" s="46"/>
      <c r="B124" s="85"/>
      <c r="C124" s="75"/>
      <c r="D124" s="75"/>
      <c r="E124" s="75"/>
      <c r="F124" s="76"/>
      <c r="G124" s="77" t="str">
        <f ca="1">IFERROR(__xludf.DUMMYFUNCTION("""COMPUTED_VALUE"""),"")</f>
        <v/>
      </c>
      <c r="H124" s="78" t="str">
        <f ca="1">IFERROR(__xludf.DUMMYFUNCTION("""COMPUTED_VALUE"""),"")</f>
        <v/>
      </c>
      <c r="I124" s="79" t="str">
        <f ca="1">IFERROR(__xludf.DUMMYFUNCTION("""COMPUTED_VALUE"""),"")</f>
        <v/>
      </c>
      <c r="J124" s="264"/>
      <c r="K124" s="82" t="str">
        <f ca="1">IFERROR(__xludf.DUMMYFUNCTION("""COMPUTED_VALUE"""),"")</f>
        <v/>
      </c>
      <c r="L124" s="81" t="str">
        <f ca="1">IFERROR(__xludf.DUMMYFUNCTION("""COMPUTED_VALUE"""),"")</f>
        <v/>
      </c>
      <c r="M124" s="82"/>
      <c r="N124" s="83"/>
      <c r="O124" s="75" t="str">
        <f ca="1">IFERROR(__xludf.DUMMYFUNCTION("""COMPUTED_VALUE"""),"")</f>
        <v/>
      </c>
      <c r="P124" s="82"/>
      <c r="Q124" s="83"/>
      <c r="R124" s="75" t="str">
        <f ca="1">IFERROR(__xludf.DUMMYFUNCTION("""COMPUTED_VALUE"""),"")</f>
        <v/>
      </c>
      <c r="S124" s="82"/>
      <c r="T124" s="83"/>
      <c r="U124" s="75" t="str">
        <f ca="1">IFERROR(__xludf.DUMMYFUNCTION("""COMPUTED_VALUE"""),"")</f>
        <v/>
      </c>
      <c r="V124" s="82"/>
      <c r="W124" s="83"/>
      <c r="X124" s="75" t="str">
        <f ca="1">IFERROR(__xludf.DUMMYFUNCTION("""COMPUTED_VALUE"""),"")</f>
        <v/>
      </c>
      <c r="Y124" s="82"/>
      <c r="Z124" s="83"/>
      <c r="AA124" s="75" t="str">
        <f ca="1">IFERROR(__xludf.DUMMYFUNCTION("""COMPUTED_VALUE"""),"")</f>
        <v/>
      </c>
      <c r="AB124" s="82"/>
      <c r="AC124" s="83"/>
      <c r="AD124" s="75" t="str">
        <f ca="1">IFERROR(__xludf.DUMMYFUNCTION("""COMPUTED_VALUE"""),"")</f>
        <v/>
      </c>
      <c r="AE124" s="82"/>
      <c r="AF124" s="83"/>
      <c r="AG124" s="75" t="str">
        <f ca="1">IFERROR(__xludf.DUMMYFUNCTION("""COMPUTED_VALUE"""),"")</f>
        <v/>
      </c>
      <c r="AH124" s="82"/>
      <c r="AI124" s="83"/>
      <c r="AJ124" s="75" t="str">
        <f ca="1">IFERROR(__xludf.DUMMYFUNCTION("""COMPUTED_VALUE"""),"")</f>
        <v/>
      </c>
      <c r="AK124" s="82"/>
      <c r="AL124" s="83"/>
      <c r="AM124" s="75" t="str">
        <f ca="1">IFERROR(__xludf.DUMMYFUNCTION("""COMPUTED_VALUE"""),"")</f>
        <v/>
      </c>
      <c r="AN124" s="82"/>
      <c r="AO124" s="83"/>
      <c r="AP124" s="75" t="str">
        <f ca="1">IFERROR(__xludf.DUMMYFUNCTION("""COMPUTED_VALUE"""),"")</f>
        <v/>
      </c>
      <c r="AQ124" s="82"/>
      <c r="AR124" s="83"/>
      <c r="AS124" s="75" t="str">
        <f ca="1">IFERROR(__xludf.DUMMYFUNCTION("""COMPUTED_VALUE"""),"")</f>
        <v/>
      </c>
      <c r="AT124" s="82"/>
      <c r="AU124" s="83"/>
      <c r="AV124" s="75" t="str">
        <f ca="1">IFERROR(__xludf.DUMMYFUNCTION("""COMPUTED_VALUE"""),"")</f>
        <v/>
      </c>
      <c r="AW124" s="82"/>
      <c r="AX124" s="83"/>
      <c r="AY124" s="75" t="str">
        <f ca="1">IFERROR(__xludf.DUMMYFUNCTION("""COMPUTED_VALUE"""),"")</f>
        <v/>
      </c>
      <c r="AZ124" s="82"/>
      <c r="BA124" s="83"/>
      <c r="BB124" s="75" t="str">
        <f ca="1">IFERROR(__xludf.DUMMYFUNCTION("""COMPUTED_VALUE"""),"")</f>
        <v/>
      </c>
      <c r="BC124" s="82"/>
      <c r="BD124" s="83"/>
      <c r="BE124" s="75" t="str">
        <f ca="1">IFERROR(__xludf.DUMMYFUNCTION("""COMPUTED_VALUE"""),"")</f>
        <v/>
      </c>
      <c r="BF124" s="82"/>
      <c r="BG124" s="83"/>
      <c r="BH124" s="75" t="str">
        <f ca="1">IFERROR(__xludf.DUMMYFUNCTION("""COMPUTED_VALUE"""),"")</f>
        <v/>
      </c>
      <c r="BI124" s="46"/>
    </row>
    <row r="125" spans="1:61" ht="22.5" customHeight="1" x14ac:dyDescent="0.25">
      <c r="A125" s="46"/>
      <c r="B125" s="85"/>
      <c r="C125" s="75"/>
      <c r="D125" s="75"/>
      <c r="E125" s="75"/>
      <c r="F125" s="76"/>
      <c r="G125" s="77" t="str">
        <f ca="1">IFERROR(__xludf.DUMMYFUNCTION("""COMPUTED_VALUE"""),"")</f>
        <v/>
      </c>
      <c r="H125" s="78" t="str">
        <f ca="1">IFERROR(__xludf.DUMMYFUNCTION("""COMPUTED_VALUE"""),"")</f>
        <v/>
      </c>
      <c r="I125" s="79" t="str">
        <f ca="1">IFERROR(__xludf.DUMMYFUNCTION("""COMPUTED_VALUE"""),"")</f>
        <v/>
      </c>
      <c r="J125" s="264"/>
      <c r="K125" s="82" t="str">
        <f ca="1">IFERROR(__xludf.DUMMYFUNCTION("""COMPUTED_VALUE"""),"")</f>
        <v/>
      </c>
      <c r="L125" s="81" t="str">
        <f ca="1">IFERROR(__xludf.DUMMYFUNCTION("""COMPUTED_VALUE"""),"")</f>
        <v/>
      </c>
      <c r="M125" s="82"/>
      <c r="N125" s="83"/>
      <c r="O125" s="75" t="str">
        <f ca="1">IFERROR(__xludf.DUMMYFUNCTION("""COMPUTED_VALUE"""),"")</f>
        <v/>
      </c>
      <c r="P125" s="82"/>
      <c r="Q125" s="83"/>
      <c r="R125" s="75" t="str">
        <f ca="1">IFERROR(__xludf.DUMMYFUNCTION("""COMPUTED_VALUE"""),"")</f>
        <v/>
      </c>
      <c r="S125" s="82"/>
      <c r="T125" s="83"/>
      <c r="U125" s="75" t="str">
        <f ca="1">IFERROR(__xludf.DUMMYFUNCTION("""COMPUTED_VALUE"""),"")</f>
        <v/>
      </c>
      <c r="V125" s="82"/>
      <c r="W125" s="83"/>
      <c r="X125" s="75" t="str">
        <f ca="1">IFERROR(__xludf.DUMMYFUNCTION("""COMPUTED_VALUE"""),"")</f>
        <v/>
      </c>
      <c r="Y125" s="82"/>
      <c r="Z125" s="83"/>
      <c r="AA125" s="75" t="str">
        <f ca="1">IFERROR(__xludf.DUMMYFUNCTION("""COMPUTED_VALUE"""),"")</f>
        <v/>
      </c>
      <c r="AB125" s="82"/>
      <c r="AC125" s="83"/>
      <c r="AD125" s="75" t="str">
        <f ca="1">IFERROR(__xludf.DUMMYFUNCTION("""COMPUTED_VALUE"""),"")</f>
        <v/>
      </c>
      <c r="AE125" s="82"/>
      <c r="AF125" s="83"/>
      <c r="AG125" s="75" t="str">
        <f ca="1">IFERROR(__xludf.DUMMYFUNCTION("""COMPUTED_VALUE"""),"")</f>
        <v/>
      </c>
      <c r="AH125" s="82"/>
      <c r="AI125" s="83"/>
      <c r="AJ125" s="75" t="str">
        <f ca="1">IFERROR(__xludf.DUMMYFUNCTION("""COMPUTED_VALUE"""),"")</f>
        <v/>
      </c>
      <c r="AK125" s="82"/>
      <c r="AL125" s="83"/>
      <c r="AM125" s="75" t="str">
        <f ca="1">IFERROR(__xludf.DUMMYFUNCTION("""COMPUTED_VALUE"""),"")</f>
        <v/>
      </c>
      <c r="AN125" s="82"/>
      <c r="AO125" s="83"/>
      <c r="AP125" s="75" t="str">
        <f ca="1">IFERROR(__xludf.DUMMYFUNCTION("""COMPUTED_VALUE"""),"")</f>
        <v/>
      </c>
      <c r="AQ125" s="82"/>
      <c r="AR125" s="83"/>
      <c r="AS125" s="75" t="str">
        <f ca="1">IFERROR(__xludf.DUMMYFUNCTION("""COMPUTED_VALUE"""),"")</f>
        <v/>
      </c>
      <c r="AT125" s="82"/>
      <c r="AU125" s="83"/>
      <c r="AV125" s="75" t="str">
        <f ca="1">IFERROR(__xludf.DUMMYFUNCTION("""COMPUTED_VALUE"""),"")</f>
        <v/>
      </c>
      <c r="AW125" s="82"/>
      <c r="AX125" s="83"/>
      <c r="AY125" s="75" t="str">
        <f ca="1">IFERROR(__xludf.DUMMYFUNCTION("""COMPUTED_VALUE"""),"")</f>
        <v/>
      </c>
      <c r="AZ125" s="82"/>
      <c r="BA125" s="83"/>
      <c r="BB125" s="75" t="str">
        <f ca="1">IFERROR(__xludf.DUMMYFUNCTION("""COMPUTED_VALUE"""),"")</f>
        <v/>
      </c>
      <c r="BC125" s="82"/>
      <c r="BD125" s="83"/>
      <c r="BE125" s="75" t="str">
        <f ca="1">IFERROR(__xludf.DUMMYFUNCTION("""COMPUTED_VALUE"""),"")</f>
        <v/>
      </c>
      <c r="BF125" s="82"/>
      <c r="BG125" s="83"/>
      <c r="BH125" s="75" t="str">
        <f ca="1">IFERROR(__xludf.DUMMYFUNCTION("""COMPUTED_VALUE"""),"")</f>
        <v/>
      </c>
      <c r="BI125" s="46"/>
    </row>
    <row r="126" spans="1:61" ht="22.5" customHeight="1" x14ac:dyDescent="0.25">
      <c r="A126" s="46"/>
      <c r="B126" s="85"/>
      <c r="C126" s="75"/>
      <c r="D126" s="75"/>
      <c r="E126" s="75"/>
      <c r="F126" s="76"/>
      <c r="G126" s="77" t="str">
        <f ca="1">IFERROR(__xludf.DUMMYFUNCTION("""COMPUTED_VALUE"""),"")</f>
        <v/>
      </c>
      <c r="H126" s="78" t="str">
        <f ca="1">IFERROR(__xludf.DUMMYFUNCTION("""COMPUTED_VALUE"""),"")</f>
        <v/>
      </c>
      <c r="I126" s="79" t="str">
        <f ca="1">IFERROR(__xludf.DUMMYFUNCTION("""COMPUTED_VALUE"""),"")</f>
        <v/>
      </c>
      <c r="J126" s="264"/>
      <c r="K126" s="82" t="str">
        <f ca="1">IFERROR(__xludf.DUMMYFUNCTION("""COMPUTED_VALUE"""),"")</f>
        <v/>
      </c>
      <c r="L126" s="81" t="str">
        <f ca="1">IFERROR(__xludf.DUMMYFUNCTION("""COMPUTED_VALUE"""),"")</f>
        <v/>
      </c>
      <c r="M126" s="82"/>
      <c r="N126" s="83"/>
      <c r="O126" s="75" t="str">
        <f ca="1">IFERROR(__xludf.DUMMYFUNCTION("""COMPUTED_VALUE"""),"")</f>
        <v/>
      </c>
      <c r="P126" s="82"/>
      <c r="Q126" s="83"/>
      <c r="R126" s="75" t="str">
        <f ca="1">IFERROR(__xludf.DUMMYFUNCTION("""COMPUTED_VALUE"""),"")</f>
        <v/>
      </c>
      <c r="S126" s="82"/>
      <c r="T126" s="83"/>
      <c r="U126" s="75" t="str">
        <f ca="1">IFERROR(__xludf.DUMMYFUNCTION("""COMPUTED_VALUE"""),"")</f>
        <v/>
      </c>
      <c r="V126" s="82"/>
      <c r="W126" s="83"/>
      <c r="X126" s="75" t="str">
        <f ca="1">IFERROR(__xludf.DUMMYFUNCTION("""COMPUTED_VALUE"""),"")</f>
        <v/>
      </c>
      <c r="Y126" s="82"/>
      <c r="Z126" s="83"/>
      <c r="AA126" s="75" t="str">
        <f ca="1">IFERROR(__xludf.DUMMYFUNCTION("""COMPUTED_VALUE"""),"")</f>
        <v/>
      </c>
      <c r="AB126" s="82"/>
      <c r="AC126" s="83"/>
      <c r="AD126" s="75" t="str">
        <f ca="1">IFERROR(__xludf.DUMMYFUNCTION("""COMPUTED_VALUE"""),"")</f>
        <v/>
      </c>
      <c r="AE126" s="82"/>
      <c r="AF126" s="83"/>
      <c r="AG126" s="75" t="str">
        <f ca="1">IFERROR(__xludf.DUMMYFUNCTION("""COMPUTED_VALUE"""),"")</f>
        <v/>
      </c>
      <c r="AH126" s="82"/>
      <c r="AI126" s="83"/>
      <c r="AJ126" s="75" t="str">
        <f ca="1">IFERROR(__xludf.DUMMYFUNCTION("""COMPUTED_VALUE"""),"")</f>
        <v/>
      </c>
      <c r="AK126" s="82"/>
      <c r="AL126" s="83"/>
      <c r="AM126" s="75" t="str">
        <f ca="1">IFERROR(__xludf.DUMMYFUNCTION("""COMPUTED_VALUE"""),"")</f>
        <v/>
      </c>
      <c r="AN126" s="82"/>
      <c r="AO126" s="83"/>
      <c r="AP126" s="75" t="str">
        <f ca="1">IFERROR(__xludf.DUMMYFUNCTION("""COMPUTED_VALUE"""),"")</f>
        <v/>
      </c>
      <c r="AQ126" s="82"/>
      <c r="AR126" s="83"/>
      <c r="AS126" s="75" t="str">
        <f ca="1">IFERROR(__xludf.DUMMYFUNCTION("""COMPUTED_VALUE"""),"")</f>
        <v/>
      </c>
      <c r="AT126" s="82"/>
      <c r="AU126" s="83"/>
      <c r="AV126" s="75" t="str">
        <f ca="1">IFERROR(__xludf.DUMMYFUNCTION("""COMPUTED_VALUE"""),"")</f>
        <v/>
      </c>
      <c r="AW126" s="82"/>
      <c r="AX126" s="83"/>
      <c r="AY126" s="75" t="str">
        <f ca="1">IFERROR(__xludf.DUMMYFUNCTION("""COMPUTED_VALUE"""),"")</f>
        <v/>
      </c>
      <c r="AZ126" s="82"/>
      <c r="BA126" s="83"/>
      <c r="BB126" s="75" t="str">
        <f ca="1">IFERROR(__xludf.DUMMYFUNCTION("""COMPUTED_VALUE"""),"")</f>
        <v/>
      </c>
      <c r="BC126" s="82"/>
      <c r="BD126" s="83"/>
      <c r="BE126" s="75" t="str">
        <f ca="1">IFERROR(__xludf.DUMMYFUNCTION("""COMPUTED_VALUE"""),"")</f>
        <v/>
      </c>
      <c r="BF126" s="82"/>
      <c r="BG126" s="83"/>
      <c r="BH126" s="75" t="str">
        <f ca="1">IFERROR(__xludf.DUMMYFUNCTION("""COMPUTED_VALUE"""),"")</f>
        <v/>
      </c>
      <c r="BI126" s="46"/>
    </row>
    <row r="127" spans="1:61" ht="22.5" customHeight="1" x14ac:dyDescent="0.25">
      <c r="A127" s="46"/>
      <c r="B127" s="85"/>
      <c r="C127" s="75"/>
      <c r="D127" s="75"/>
      <c r="E127" s="75"/>
      <c r="F127" s="76"/>
      <c r="G127" s="77" t="str">
        <f ca="1">IFERROR(__xludf.DUMMYFUNCTION("""COMPUTED_VALUE"""),"")</f>
        <v/>
      </c>
      <c r="H127" s="78" t="str">
        <f ca="1">IFERROR(__xludf.DUMMYFUNCTION("""COMPUTED_VALUE"""),"")</f>
        <v/>
      </c>
      <c r="I127" s="79" t="str">
        <f ca="1">IFERROR(__xludf.DUMMYFUNCTION("""COMPUTED_VALUE"""),"")</f>
        <v/>
      </c>
      <c r="J127" s="264"/>
      <c r="K127" s="82" t="str">
        <f ca="1">IFERROR(__xludf.DUMMYFUNCTION("""COMPUTED_VALUE"""),"")</f>
        <v/>
      </c>
      <c r="L127" s="81" t="str">
        <f ca="1">IFERROR(__xludf.DUMMYFUNCTION("""COMPUTED_VALUE"""),"")</f>
        <v/>
      </c>
      <c r="M127" s="82"/>
      <c r="N127" s="83"/>
      <c r="O127" s="75" t="str">
        <f ca="1">IFERROR(__xludf.DUMMYFUNCTION("""COMPUTED_VALUE"""),"")</f>
        <v/>
      </c>
      <c r="P127" s="82"/>
      <c r="Q127" s="83"/>
      <c r="R127" s="75" t="str">
        <f ca="1">IFERROR(__xludf.DUMMYFUNCTION("""COMPUTED_VALUE"""),"")</f>
        <v/>
      </c>
      <c r="S127" s="82"/>
      <c r="T127" s="83"/>
      <c r="U127" s="75" t="str">
        <f ca="1">IFERROR(__xludf.DUMMYFUNCTION("""COMPUTED_VALUE"""),"")</f>
        <v/>
      </c>
      <c r="V127" s="82"/>
      <c r="W127" s="83"/>
      <c r="X127" s="75" t="str">
        <f ca="1">IFERROR(__xludf.DUMMYFUNCTION("""COMPUTED_VALUE"""),"")</f>
        <v/>
      </c>
      <c r="Y127" s="82"/>
      <c r="Z127" s="83"/>
      <c r="AA127" s="75" t="str">
        <f ca="1">IFERROR(__xludf.DUMMYFUNCTION("""COMPUTED_VALUE"""),"")</f>
        <v/>
      </c>
      <c r="AB127" s="82"/>
      <c r="AC127" s="83"/>
      <c r="AD127" s="75" t="str">
        <f ca="1">IFERROR(__xludf.DUMMYFUNCTION("""COMPUTED_VALUE"""),"")</f>
        <v/>
      </c>
      <c r="AE127" s="82"/>
      <c r="AF127" s="83"/>
      <c r="AG127" s="75" t="str">
        <f ca="1">IFERROR(__xludf.DUMMYFUNCTION("""COMPUTED_VALUE"""),"")</f>
        <v/>
      </c>
      <c r="AH127" s="82"/>
      <c r="AI127" s="83"/>
      <c r="AJ127" s="75" t="str">
        <f ca="1">IFERROR(__xludf.DUMMYFUNCTION("""COMPUTED_VALUE"""),"")</f>
        <v/>
      </c>
      <c r="AK127" s="82"/>
      <c r="AL127" s="83"/>
      <c r="AM127" s="75" t="str">
        <f ca="1">IFERROR(__xludf.DUMMYFUNCTION("""COMPUTED_VALUE"""),"")</f>
        <v/>
      </c>
      <c r="AN127" s="82"/>
      <c r="AO127" s="83"/>
      <c r="AP127" s="75" t="str">
        <f ca="1">IFERROR(__xludf.DUMMYFUNCTION("""COMPUTED_VALUE"""),"")</f>
        <v/>
      </c>
      <c r="AQ127" s="82"/>
      <c r="AR127" s="83"/>
      <c r="AS127" s="75" t="str">
        <f ca="1">IFERROR(__xludf.DUMMYFUNCTION("""COMPUTED_VALUE"""),"")</f>
        <v/>
      </c>
      <c r="AT127" s="82"/>
      <c r="AU127" s="83"/>
      <c r="AV127" s="75" t="str">
        <f ca="1">IFERROR(__xludf.DUMMYFUNCTION("""COMPUTED_VALUE"""),"")</f>
        <v/>
      </c>
      <c r="AW127" s="82"/>
      <c r="AX127" s="83"/>
      <c r="AY127" s="75" t="str">
        <f ca="1">IFERROR(__xludf.DUMMYFUNCTION("""COMPUTED_VALUE"""),"")</f>
        <v/>
      </c>
      <c r="AZ127" s="82"/>
      <c r="BA127" s="83"/>
      <c r="BB127" s="75" t="str">
        <f ca="1">IFERROR(__xludf.DUMMYFUNCTION("""COMPUTED_VALUE"""),"")</f>
        <v/>
      </c>
      <c r="BC127" s="82"/>
      <c r="BD127" s="83"/>
      <c r="BE127" s="75" t="str">
        <f ca="1">IFERROR(__xludf.DUMMYFUNCTION("""COMPUTED_VALUE"""),"")</f>
        <v/>
      </c>
      <c r="BF127" s="82"/>
      <c r="BG127" s="83"/>
      <c r="BH127" s="75" t="str">
        <f ca="1">IFERROR(__xludf.DUMMYFUNCTION("""COMPUTED_VALUE"""),"")</f>
        <v/>
      </c>
      <c r="BI127" s="46"/>
    </row>
    <row r="128" spans="1:61" ht="22.5" customHeight="1" x14ac:dyDescent="0.25">
      <c r="A128" s="46"/>
      <c r="B128" s="85"/>
      <c r="C128" s="75"/>
      <c r="D128" s="75"/>
      <c r="E128" s="75"/>
      <c r="F128" s="76"/>
      <c r="G128" s="77" t="str">
        <f ca="1">IFERROR(__xludf.DUMMYFUNCTION("""COMPUTED_VALUE"""),"")</f>
        <v/>
      </c>
      <c r="H128" s="78" t="str">
        <f ca="1">IFERROR(__xludf.DUMMYFUNCTION("""COMPUTED_VALUE"""),"")</f>
        <v/>
      </c>
      <c r="I128" s="79" t="str">
        <f ca="1">IFERROR(__xludf.DUMMYFUNCTION("""COMPUTED_VALUE"""),"")</f>
        <v/>
      </c>
      <c r="J128" s="264"/>
      <c r="K128" s="82" t="str">
        <f ca="1">IFERROR(__xludf.DUMMYFUNCTION("""COMPUTED_VALUE"""),"")</f>
        <v/>
      </c>
      <c r="L128" s="81" t="str">
        <f ca="1">IFERROR(__xludf.DUMMYFUNCTION("""COMPUTED_VALUE"""),"")</f>
        <v/>
      </c>
      <c r="M128" s="82"/>
      <c r="N128" s="83"/>
      <c r="O128" s="75" t="str">
        <f ca="1">IFERROR(__xludf.DUMMYFUNCTION("""COMPUTED_VALUE"""),"")</f>
        <v/>
      </c>
      <c r="P128" s="82"/>
      <c r="Q128" s="83"/>
      <c r="R128" s="75" t="str">
        <f ca="1">IFERROR(__xludf.DUMMYFUNCTION("""COMPUTED_VALUE"""),"")</f>
        <v/>
      </c>
      <c r="S128" s="82"/>
      <c r="T128" s="83"/>
      <c r="U128" s="75" t="str">
        <f ca="1">IFERROR(__xludf.DUMMYFUNCTION("""COMPUTED_VALUE"""),"")</f>
        <v/>
      </c>
      <c r="V128" s="82"/>
      <c r="W128" s="83"/>
      <c r="X128" s="75" t="str">
        <f ca="1">IFERROR(__xludf.DUMMYFUNCTION("""COMPUTED_VALUE"""),"")</f>
        <v/>
      </c>
      <c r="Y128" s="82"/>
      <c r="Z128" s="83"/>
      <c r="AA128" s="75" t="str">
        <f ca="1">IFERROR(__xludf.DUMMYFUNCTION("""COMPUTED_VALUE"""),"")</f>
        <v/>
      </c>
      <c r="AB128" s="82"/>
      <c r="AC128" s="83"/>
      <c r="AD128" s="75" t="str">
        <f ca="1">IFERROR(__xludf.DUMMYFUNCTION("""COMPUTED_VALUE"""),"")</f>
        <v/>
      </c>
      <c r="AE128" s="82"/>
      <c r="AF128" s="83"/>
      <c r="AG128" s="75" t="str">
        <f ca="1">IFERROR(__xludf.DUMMYFUNCTION("""COMPUTED_VALUE"""),"")</f>
        <v/>
      </c>
      <c r="AH128" s="82"/>
      <c r="AI128" s="83"/>
      <c r="AJ128" s="75" t="str">
        <f ca="1">IFERROR(__xludf.DUMMYFUNCTION("""COMPUTED_VALUE"""),"")</f>
        <v/>
      </c>
      <c r="AK128" s="82"/>
      <c r="AL128" s="83"/>
      <c r="AM128" s="75" t="str">
        <f ca="1">IFERROR(__xludf.DUMMYFUNCTION("""COMPUTED_VALUE"""),"")</f>
        <v/>
      </c>
      <c r="AN128" s="82"/>
      <c r="AO128" s="83"/>
      <c r="AP128" s="75" t="str">
        <f ca="1">IFERROR(__xludf.DUMMYFUNCTION("""COMPUTED_VALUE"""),"")</f>
        <v/>
      </c>
      <c r="AQ128" s="82"/>
      <c r="AR128" s="83"/>
      <c r="AS128" s="75" t="str">
        <f ca="1">IFERROR(__xludf.DUMMYFUNCTION("""COMPUTED_VALUE"""),"")</f>
        <v/>
      </c>
      <c r="AT128" s="82"/>
      <c r="AU128" s="83"/>
      <c r="AV128" s="75" t="str">
        <f ca="1">IFERROR(__xludf.DUMMYFUNCTION("""COMPUTED_VALUE"""),"")</f>
        <v/>
      </c>
      <c r="AW128" s="82"/>
      <c r="AX128" s="83"/>
      <c r="AY128" s="75" t="str">
        <f ca="1">IFERROR(__xludf.DUMMYFUNCTION("""COMPUTED_VALUE"""),"")</f>
        <v/>
      </c>
      <c r="AZ128" s="82"/>
      <c r="BA128" s="83"/>
      <c r="BB128" s="75" t="str">
        <f ca="1">IFERROR(__xludf.DUMMYFUNCTION("""COMPUTED_VALUE"""),"")</f>
        <v/>
      </c>
      <c r="BC128" s="82"/>
      <c r="BD128" s="83"/>
      <c r="BE128" s="75" t="str">
        <f ca="1">IFERROR(__xludf.DUMMYFUNCTION("""COMPUTED_VALUE"""),"")</f>
        <v/>
      </c>
      <c r="BF128" s="82"/>
      <c r="BG128" s="83"/>
      <c r="BH128" s="75" t="str">
        <f ca="1">IFERROR(__xludf.DUMMYFUNCTION("""COMPUTED_VALUE"""),"")</f>
        <v/>
      </c>
      <c r="BI128" s="46"/>
    </row>
    <row r="129" spans="1:61" ht="22.5" customHeight="1" x14ac:dyDescent="0.25">
      <c r="A129" s="46"/>
      <c r="B129" s="85"/>
      <c r="C129" s="75"/>
      <c r="D129" s="75"/>
      <c r="E129" s="75"/>
      <c r="F129" s="76"/>
      <c r="G129" s="77" t="str">
        <f ca="1">IFERROR(__xludf.DUMMYFUNCTION("""COMPUTED_VALUE"""),"")</f>
        <v/>
      </c>
      <c r="H129" s="78" t="str">
        <f ca="1">IFERROR(__xludf.DUMMYFUNCTION("""COMPUTED_VALUE"""),"")</f>
        <v/>
      </c>
      <c r="I129" s="79" t="str">
        <f ca="1">IFERROR(__xludf.DUMMYFUNCTION("""COMPUTED_VALUE"""),"")</f>
        <v/>
      </c>
      <c r="J129" s="264"/>
      <c r="K129" s="82" t="str">
        <f ca="1">IFERROR(__xludf.DUMMYFUNCTION("""COMPUTED_VALUE"""),"")</f>
        <v/>
      </c>
      <c r="L129" s="81" t="str">
        <f ca="1">IFERROR(__xludf.DUMMYFUNCTION("""COMPUTED_VALUE"""),"")</f>
        <v/>
      </c>
      <c r="M129" s="82"/>
      <c r="N129" s="83"/>
      <c r="O129" s="75" t="str">
        <f ca="1">IFERROR(__xludf.DUMMYFUNCTION("""COMPUTED_VALUE"""),"")</f>
        <v/>
      </c>
      <c r="P129" s="82"/>
      <c r="Q129" s="83"/>
      <c r="R129" s="75" t="str">
        <f ca="1">IFERROR(__xludf.DUMMYFUNCTION("""COMPUTED_VALUE"""),"")</f>
        <v/>
      </c>
      <c r="S129" s="82"/>
      <c r="T129" s="83"/>
      <c r="U129" s="75" t="str">
        <f ca="1">IFERROR(__xludf.DUMMYFUNCTION("""COMPUTED_VALUE"""),"")</f>
        <v/>
      </c>
      <c r="V129" s="82"/>
      <c r="W129" s="83"/>
      <c r="X129" s="75" t="str">
        <f ca="1">IFERROR(__xludf.DUMMYFUNCTION("""COMPUTED_VALUE"""),"")</f>
        <v/>
      </c>
      <c r="Y129" s="82"/>
      <c r="Z129" s="83"/>
      <c r="AA129" s="75" t="str">
        <f ca="1">IFERROR(__xludf.DUMMYFUNCTION("""COMPUTED_VALUE"""),"")</f>
        <v/>
      </c>
      <c r="AB129" s="82"/>
      <c r="AC129" s="83"/>
      <c r="AD129" s="75" t="str">
        <f ca="1">IFERROR(__xludf.DUMMYFUNCTION("""COMPUTED_VALUE"""),"")</f>
        <v/>
      </c>
      <c r="AE129" s="82"/>
      <c r="AF129" s="83"/>
      <c r="AG129" s="75" t="str">
        <f ca="1">IFERROR(__xludf.DUMMYFUNCTION("""COMPUTED_VALUE"""),"")</f>
        <v/>
      </c>
      <c r="AH129" s="82"/>
      <c r="AI129" s="83"/>
      <c r="AJ129" s="75" t="str">
        <f ca="1">IFERROR(__xludf.DUMMYFUNCTION("""COMPUTED_VALUE"""),"")</f>
        <v/>
      </c>
      <c r="AK129" s="82"/>
      <c r="AL129" s="83"/>
      <c r="AM129" s="75" t="str">
        <f ca="1">IFERROR(__xludf.DUMMYFUNCTION("""COMPUTED_VALUE"""),"")</f>
        <v/>
      </c>
      <c r="AN129" s="82"/>
      <c r="AO129" s="83"/>
      <c r="AP129" s="75" t="str">
        <f ca="1">IFERROR(__xludf.DUMMYFUNCTION("""COMPUTED_VALUE"""),"")</f>
        <v/>
      </c>
      <c r="AQ129" s="82"/>
      <c r="AR129" s="83"/>
      <c r="AS129" s="75" t="str">
        <f ca="1">IFERROR(__xludf.DUMMYFUNCTION("""COMPUTED_VALUE"""),"")</f>
        <v/>
      </c>
      <c r="AT129" s="82"/>
      <c r="AU129" s="83"/>
      <c r="AV129" s="75" t="str">
        <f ca="1">IFERROR(__xludf.DUMMYFUNCTION("""COMPUTED_VALUE"""),"")</f>
        <v/>
      </c>
      <c r="AW129" s="82"/>
      <c r="AX129" s="83"/>
      <c r="AY129" s="75" t="str">
        <f ca="1">IFERROR(__xludf.DUMMYFUNCTION("""COMPUTED_VALUE"""),"")</f>
        <v/>
      </c>
      <c r="AZ129" s="82"/>
      <c r="BA129" s="83"/>
      <c r="BB129" s="75" t="str">
        <f ca="1">IFERROR(__xludf.DUMMYFUNCTION("""COMPUTED_VALUE"""),"")</f>
        <v/>
      </c>
      <c r="BC129" s="82"/>
      <c r="BD129" s="83"/>
      <c r="BE129" s="75" t="str">
        <f ca="1">IFERROR(__xludf.DUMMYFUNCTION("""COMPUTED_VALUE"""),"")</f>
        <v/>
      </c>
      <c r="BF129" s="82"/>
      <c r="BG129" s="83"/>
      <c r="BH129" s="75" t="str">
        <f ca="1">IFERROR(__xludf.DUMMYFUNCTION("""COMPUTED_VALUE"""),"")</f>
        <v/>
      </c>
      <c r="BI129" s="46"/>
    </row>
    <row r="130" spans="1:61" ht="22.5" customHeight="1" x14ac:dyDescent="0.25">
      <c r="A130" s="46"/>
      <c r="B130" s="85"/>
      <c r="C130" s="75"/>
      <c r="D130" s="75"/>
      <c r="E130" s="75"/>
      <c r="F130" s="76"/>
      <c r="G130" s="77" t="str">
        <f ca="1">IFERROR(__xludf.DUMMYFUNCTION("""COMPUTED_VALUE"""),"")</f>
        <v/>
      </c>
      <c r="H130" s="78" t="str">
        <f ca="1">IFERROR(__xludf.DUMMYFUNCTION("""COMPUTED_VALUE"""),"")</f>
        <v/>
      </c>
      <c r="I130" s="79" t="str">
        <f ca="1">IFERROR(__xludf.DUMMYFUNCTION("""COMPUTED_VALUE"""),"")</f>
        <v/>
      </c>
      <c r="J130" s="264"/>
      <c r="K130" s="82" t="str">
        <f ca="1">IFERROR(__xludf.DUMMYFUNCTION("""COMPUTED_VALUE"""),"")</f>
        <v/>
      </c>
      <c r="L130" s="81" t="str">
        <f ca="1">IFERROR(__xludf.DUMMYFUNCTION("""COMPUTED_VALUE"""),"")</f>
        <v/>
      </c>
      <c r="M130" s="82"/>
      <c r="N130" s="83"/>
      <c r="O130" s="75" t="str">
        <f ca="1">IFERROR(__xludf.DUMMYFUNCTION("""COMPUTED_VALUE"""),"")</f>
        <v/>
      </c>
      <c r="P130" s="82"/>
      <c r="Q130" s="83"/>
      <c r="R130" s="75" t="str">
        <f ca="1">IFERROR(__xludf.DUMMYFUNCTION("""COMPUTED_VALUE"""),"")</f>
        <v/>
      </c>
      <c r="S130" s="82"/>
      <c r="T130" s="83"/>
      <c r="U130" s="75" t="str">
        <f ca="1">IFERROR(__xludf.DUMMYFUNCTION("""COMPUTED_VALUE"""),"")</f>
        <v/>
      </c>
      <c r="V130" s="82"/>
      <c r="W130" s="83"/>
      <c r="X130" s="75" t="str">
        <f ca="1">IFERROR(__xludf.DUMMYFUNCTION("""COMPUTED_VALUE"""),"")</f>
        <v/>
      </c>
      <c r="Y130" s="82"/>
      <c r="Z130" s="83"/>
      <c r="AA130" s="75" t="str">
        <f ca="1">IFERROR(__xludf.DUMMYFUNCTION("""COMPUTED_VALUE"""),"")</f>
        <v/>
      </c>
      <c r="AB130" s="82"/>
      <c r="AC130" s="83"/>
      <c r="AD130" s="75" t="str">
        <f ca="1">IFERROR(__xludf.DUMMYFUNCTION("""COMPUTED_VALUE"""),"")</f>
        <v/>
      </c>
      <c r="AE130" s="82"/>
      <c r="AF130" s="83"/>
      <c r="AG130" s="75" t="str">
        <f ca="1">IFERROR(__xludf.DUMMYFUNCTION("""COMPUTED_VALUE"""),"")</f>
        <v/>
      </c>
      <c r="AH130" s="82"/>
      <c r="AI130" s="83"/>
      <c r="AJ130" s="75" t="str">
        <f ca="1">IFERROR(__xludf.DUMMYFUNCTION("""COMPUTED_VALUE"""),"")</f>
        <v/>
      </c>
      <c r="AK130" s="82"/>
      <c r="AL130" s="83"/>
      <c r="AM130" s="75" t="str">
        <f ca="1">IFERROR(__xludf.DUMMYFUNCTION("""COMPUTED_VALUE"""),"")</f>
        <v/>
      </c>
      <c r="AN130" s="82"/>
      <c r="AO130" s="83"/>
      <c r="AP130" s="75" t="str">
        <f ca="1">IFERROR(__xludf.DUMMYFUNCTION("""COMPUTED_VALUE"""),"")</f>
        <v/>
      </c>
      <c r="AQ130" s="82"/>
      <c r="AR130" s="83"/>
      <c r="AS130" s="75" t="str">
        <f ca="1">IFERROR(__xludf.DUMMYFUNCTION("""COMPUTED_VALUE"""),"")</f>
        <v/>
      </c>
      <c r="AT130" s="82"/>
      <c r="AU130" s="83"/>
      <c r="AV130" s="75" t="str">
        <f ca="1">IFERROR(__xludf.DUMMYFUNCTION("""COMPUTED_VALUE"""),"")</f>
        <v/>
      </c>
      <c r="AW130" s="82"/>
      <c r="AX130" s="83"/>
      <c r="AY130" s="75" t="str">
        <f ca="1">IFERROR(__xludf.DUMMYFUNCTION("""COMPUTED_VALUE"""),"")</f>
        <v/>
      </c>
      <c r="AZ130" s="82"/>
      <c r="BA130" s="83"/>
      <c r="BB130" s="75" t="str">
        <f ca="1">IFERROR(__xludf.DUMMYFUNCTION("""COMPUTED_VALUE"""),"")</f>
        <v/>
      </c>
      <c r="BC130" s="82"/>
      <c r="BD130" s="83"/>
      <c r="BE130" s="75" t="str">
        <f ca="1">IFERROR(__xludf.DUMMYFUNCTION("""COMPUTED_VALUE"""),"")</f>
        <v/>
      </c>
      <c r="BF130" s="82"/>
      <c r="BG130" s="83"/>
      <c r="BH130" s="75" t="str">
        <f ca="1">IFERROR(__xludf.DUMMYFUNCTION("""COMPUTED_VALUE"""),"")</f>
        <v/>
      </c>
      <c r="BI130" s="46"/>
    </row>
    <row r="131" spans="1:61" ht="22.5" customHeight="1" x14ac:dyDescent="0.25">
      <c r="A131" s="46"/>
      <c r="B131" s="85"/>
      <c r="C131" s="75"/>
      <c r="D131" s="75"/>
      <c r="E131" s="75"/>
      <c r="F131" s="76"/>
      <c r="G131" s="77" t="str">
        <f ca="1">IFERROR(__xludf.DUMMYFUNCTION("""COMPUTED_VALUE"""),"")</f>
        <v/>
      </c>
      <c r="H131" s="78" t="str">
        <f ca="1">IFERROR(__xludf.DUMMYFUNCTION("""COMPUTED_VALUE"""),"")</f>
        <v/>
      </c>
      <c r="I131" s="79" t="str">
        <f ca="1">IFERROR(__xludf.DUMMYFUNCTION("""COMPUTED_VALUE"""),"")</f>
        <v/>
      </c>
      <c r="J131" s="264"/>
      <c r="K131" s="82" t="str">
        <f ca="1">IFERROR(__xludf.DUMMYFUNCTION("""COMPUTED_VALUE"""),"")</f>
        <v/>
      </c>
      <c r="L131" s="81" t="str">
        <f ca="1">IFERROR(__xludf.DUMMYFUNCTION("""COMPUTED_VALUE"""),"")</f>
        <v/>
      </c>
      <c r="M131" s="82"/>
      <c r="N131" s="83"/>
      <c r="O131" s="75" t="str">
        <f ca="1">IFERROR(__xludf.DUMMYFUNCTION("""COMPUTED_VALUE"""),"")</f>
        <v/>
      </c>
      <c r="P131" s="82"/>
      <c r="Q131" s="83"/>
      <c r="R131" s="75" t="str">
        <f ca="1">IFERROR(__xludf.DUMMYFUNCTION("""COMPUTED_VALUE"""),"")</f>
        <v/>
      </c>
      <c r="S131" s="82"/>
      <c r="T131" s="83"/>
      <c r="U131" s="75" t="str">
        <f ca="1">IFERROR(__xludf.DUMMYFUNCTION("""COMPUTED_VALUE"""),"")</f>
        <v/>
      </c>
      <c r="V131" s="82"/>
      <c r="W131" s="83"/>
      <c r="X131" s="75" t="str">
        <f ca="1">IFERROR(__xludf.DUMMYFUNCTION("""COMPUTED_VALUE"""),"")</f>
        <v/>
      </c>
      <c r="Y131" s="82"/>
      <c r="Z131" s="83"/>
      <c r="AA131" s="75" t="str">
        <f ca="1">IFERROR(__xludf.DUMMYFUNCTION("""COMPUTED_VALUE"""),"")</f>
        <v/>
      </c>
      <c r="AB131" s="82"/>
      <c r="AC131" s="83"/>
      <c r="AD131" s="75" t="str">
        <f ca="1">IFERROR(__xludf.DUMMYFUNCTION("""COMPUTED_VALUE"""),"")</f>
        <v/>
      </c>
      <c r="AE131" s="82"/>
      <c r="AF131" s="83"/>
      <c r="AG131" s="75" t="str">
        <f ca="1">IFERROR(__xludf.DUMMYFUNCTION("""COMPUTED_VALUE"""),"")</f>
        <v/>
      </c>
      <c r="AH131" s="82"/>
      <c r="AI131" s="83"/>
      <c r="AJ131" s="75" t="str">
        <f ca="1">IFERROR(__xludf.DUMMYFUNCTION("""COMPUTED_VALUE"""),"")</f>
        <v/>
      </c>
      <c r="AK131" s="82"/>
      <c r="AL131" s="83"/>
      <c r="AM131" s="75" t="str">
        <f ca="1">IFERROR(__xludf.DUMMYFUNCTION("""COMPUTED_VALUE"""),"")</f>
        <v/>
      </c>
      <c r="AN131" s="82"/>
      <c r="AO131" s="83"/>
      <c r="AP131" s="75" t="str">
        <f ca="1">IFERROR(__xludf.DUMMYFUNCTION("""COMPUTED_VALUE"""),"")</f>
        <v/>
      </c>
      <c r="AQ131" s="82"/>
      <c r="AR131" s="83"/>
      <c r="AS131" s="75" t="str">
        <f ca="1">IFERROR(__xludf.DUMMYFUNCTION("""COMPUTED_VALUE"""),"")</f>
        <v/>
      </c>
      <c r="AT131" s="82"/>
      <c r="AU131" s="83"/>
      <c r="AV131" s="75" t="str">
        <f ca="1">IFERROR(__xludf.DUMMYFUNCTION("""COMPUTED_VALUE"""),"")</f>
        <v/>
      </c>
      <c r="AW131" s="82"/>
      <c r="AX131" s="83"/>
      <c r="AY131" s="75" t="str">
        <f ca="1">IFERROR(__xludf.DUMMYFUNCTION("""COMPUTED_VALUE"""),"")</f>
        <v/>
      </c>
      <c r="AZ131" s="82"/>
      <c r="BA131" s="83"/>
      <c r="BB131" s="75" t="str">
        <f ca="1">IFERROR(__xludf.DUMMYFUNCTION("""COMPUTED_VALUE"""),"")</f>
        <v/>
      </c>
      <c r="BC131" s="82"/>
      <c r="BD131" s="83"/>
      <c r="BE131" s="75" t="str">
        <f ca="1">IFERROR(__xludf.DUMMYFUNCTION("""COMPUTED_VALUE"""),"")</f>
        <v/>
      </c>
      <c r="BF131" s="82"/>
      <c r="BG131" s="83"/>
      <c r="BH131" s="75" t="str">
        <f ca="1">IFERROR(__xludf.DUMMYFUNCTION("""COMPUTED_VALUE"""),"")</f>
        <v/>
      </c>
      <c r="BI131" s="46"/>
    </row>
    <row r="132" spans="1:61" ht="22.5" customHeight="1" x14ac:dyDescent="0.25">
      <c r="A132" s="46"/>
      <c r="B132" s="85"/>
      <c r="C132" s="75"/>
      <c r="D132" s="75"/>
      <c r="E132" s="75"/>
      <c r="F132" s="76"/>
      <c r="G132" s="77" t="str">
        <f ca="1">IFERROR(__xludf.DUMMYFUNCTION("""COMPUTED_VALUE"""),"")</f>
        <v/>
      </c>
      <c r="H132" s="78" t="str">
        <f ca="1">IFERROR(__xludf.DUMMYFUNCTION("""COMPUTED_VALUE"""),"")</f>
        <v/>
      </c>
      <c r="I132" s="79" t="str">
        <f ca="1">IFERROR(__xludf.DUMMYFUNCTION("""COMPUTED_VALUE"""),"")</f>
        <v/>
      </c>
      <c r="J132" s="264"/>
      <c r="K132" s="82" t="str">
        <f ca="1">IFERROR(__xludf.DUMMYFUNCTION("""COMPUTED_VALUE"""),"")</f>
        <v/>
      </c>
      <c r="L132" s="81" t="str">
        <f ca="1">IFERROR(__xludf.DUMMYFUNCTION("""COMPUTED_VALUE"""),"")</f>
        <v/>
      </c>
      <c r="M132" s="82"/>
      <c r="N132" s="83"/>
      <c r="O132" s="75" t="str">
        <f ca="1">IFERROR(__xludf.DUMMYFUNCTION("""COMPUTED_VALUE"""),"")</f>
        <v/>
      </c>
      <c r="P132" s="82"/>
      <c r="Q132" s="83"/>
      <c r="R132" s="75" t="str">
        <f ca="1">IFERROR(__xludf.DUMMYFUNCTION("""COMPUTED_VALUE"""),"")</f>
        <v/>
      </c>
      <c r="S132" s="82"/>
      <c r="T132" s="83"/>
      <c r="U132" s="75" t="str">
        <f ca="1">IFERROR(__xludf.DUMMYFUNCTION("""COMPUTED_VALUE"""),"")</f>
        <v/>
      </c>
      <c r="V132" s="82"/>
      <c r="W132" s="83"/>
      <c r="X132" s="75" t="str">
        <f ca="1">IFERROR(__xludf.DUMMYFUNCTION("""COMPUTED_VALUE"""),"")</f>
        <v/>
      </c>
      <c r="Y132" s="82"/>
      <c r="Z132" s="83"/>
      <c r="AA132" s="75" t="str">
        <f ca="1">IFERROR(__xludf.DUMMYFUNCTION("""COMPUTED_VALUE"""),"")</f>
        <v/>
      </c>
      <c r="AB132" s="82"/>
      <c r="AC132" s="83"/>
      <c r="AD132" s="75" t="str">
        <f ca="1">IFERROR(__xludf.DUMMYFUNCTION("""COMPUTED_VALUE"""),"")</f>
        <v/>
      </c>
      <c r="AE132" s="82"/>
      <c r="AF132" s="83"/>
      <c r="AG132" s="75" t="str">
        <f ca="1">IFERROR(__xludf.DUMMYFUNCTION("""COMPUTED_VALUE"""),"")</f>
        <v/>
      </c>
      <c r="AH132" s="82"/>
      <c r="AI132" s="83"/>
      <c r="AJ132" s="75" t="str">
        <f ca="1">IFERROR(__xludf.DUMMYFUNCTION("""COMPUTED_VALUE"""),"")</f>
        <v/>
      </c>
      <c r="AK132" s="82"/>
      <c r="AL132" s="83"/>
      <c r="AM132" s="75" t="str">
        <f ca="1">IFERROR(__xludf.DUMMYFUNCTION("""COMPUTED_VALUE"""),"")</f>
        <v/>
      </c>
      <c r="AN132" s="82"/>
      <c r="AO132" s="83"/>
      <c r="AP132" s="75" t="str">
        <f ca="1">IFERROR(__xludf.DUMMYFUNCTION("""COMPUTED_VALUE"""),"")</f>
        <v/>
      </c>
      <c r="AQ132" s="82"/>
      <c r="AR132" s="83"/>
      <c r="AS132" s="75" t="str">
        <f ca="1">IFERROR(__xludf.DUMMYFUNCTION("""COMPUTED_VALUE"""),"")</f>
        <v/>
      </c>
      <c r="AT132" s="82"/>
      <c r="AU132" s="83"/>
      <c r="AV132" s="75" t="str">
        <f ca="1">IFERROR(__xludf.DUMMYFUNCTION("""COMPUTED_VALUE"""),"")</f>
        <v/>
      </c>
      <c r="AW132" s="82"/>
      <c r="AX132" s="83"/>
      <c r="AY132" s="75" t="str">
        <f ca="1">IFERROR(__xludf.DUMMYFUNCTION("""COMPUTED_VALUE"""),"")</f>
        <v/>
      </c>
      <c r="AZ132" s="82"/>
      <c r="BA132" s="83"/>
      <c r="BB132" s="75" t="str">
        <f ca="1">IFERROR(__xludf.DUMMYFUNCTION("""COMPUTED_VALUE"""),"")</f>
        <v/>
      </c>
      <c r="BC132" s="82"/>
      <c r="BD132" s="83"/>
      <c r="BE132" s="75" t="str">
        <f ca="1">IFERROR(__xludf.DUMMYFUNCTION("""COMPUTED_VALUE"""),"")</f>
        <v/>
      </c>
      <c r="BF132" s="82"/>
      <c r="BG132" s="83"/>
      <c r="BH132" s="75" t="str">
        <f ca="1">IFERROR(__xludf.DUMMYFUNCTION("""COMPUTED_VALUE"""),"")</f>
        <v/>
      </c>
      <c r="BI132" s="46"/>
    </row>
    <row r="133" spans="1:61" ht="22.5" customHeight="1" x14ac:dyDescent="0.25">
      <c r="A133" s="46"/>
      <c r="B133" s="85"/>
      <c r="C133" s="75"/>
      <c r="D133" s="75"/>
      <c r="E133" s="75"/>
      <c r="F133" s="76"/>
      <c r="G133" s="77" t="str">
        <f ca="1">IFERROR(__xludf.DUMMYFUNCTION("""COMPUTED_VALUE"""),"")</f>
        <v/>
      </c>
      <c r="H133" s="78" t="str">
        <f ca="1">IFERROR(__xludf.DUMMYFUNCTION("""COMPUTED_VALUE"""),"")</f>
        <v/>
      </c>
      <c r="I133" s="79" t="str">
        <f ca="1">IFERROR(__xludf.DUMMYFUNCTION("""COMPUTED_VALUE"""),"")</f>
        <v/>
      </c>
      <c r="J133" s="264"/>
      <c r="K133" s="82" t="str">
        <f ca="1">IFERROR(__xludf.DUMMYFUNCTION("""COMPUTED_VALUE"""),"")</f>
        <v/>
      </c>
      <c r="L133" s="81" t="str">
        <f ca="1">IFERROR(__xludf.DUMMYFUNCTION("""COMPUTED_VALUE"""),"")</f>
        <v/>
      </c>
      <c r="M133" s="82"/>
      <c r="N133" s="83"/>
      <c r="O133" s="75" t="str">
        <f ca="1">IFERROR(__xludf.DUMMYFUNCTION("""COMPUTED_VALUE"""),"")</f>
        <v/>
      </c>
      <c r="P133" s="82"/>
      <c r="Q133" s="83"/>
      <c r="R133" s="75" t="str">
        <f ca="1">IFERROR(__xludf.DUMMYFUNCTION("""COMPUTED_VALUE"""),"")</f>
        <v/>
      </c>
      <c r="S133" s="82"/>
      <c r="T133" s="83"/>
      <c r="U133" s="75" t="str">
        <f ca="1">IFERROR(__xludf.DUMMYFUNCTION("""COMPUTED_VALUE"""),"")</f>
        <v/>
      </c>
      <c r="V133" s="82"/>
      <c r="W133" s="83"/>
      <c r="X133" s="75" t="str">
        <f ca="1">IFERROR(__xludf.DUMMYFUNCTION("""COMPUTED_VALUE"""),"")</f>
        <v/>
      </c>
      <c r="Y133" s="82"/>
      <c r="Z133" s="83"/>
      <c r="AA133" s="75" t="str">
        <f ca="1">IFERROR(__xludf.DUMMYFUNCTION("""COMPUTED_VALUE"""),"")</f>
        <v/>
      </c>
      <c r="AB133" s="82"/>
      <c r="AC133" s="83"/>
      <c r="AD133" s="75" t="str">
        <f ca="1">IFERROR(__xludf.DUMMYFUNCTION("""COMPUTED_VALUE"""),"")</f>
        <v/>
      </c>
      <c r="AE133" s="82"/>
      <c r="AF133" s="83"/>
      <c r="AG133" s="75" t="str">
        <f ca="1">IFERROR(__xludf.DUMMYFUNCTION("""COMPUTED_VALUE"""),"")</f>
        <v/>
      </c>
      <c r="AH133" s="82"/>
      <c r="AI133" s="83"/>
      <c r="AJ133" s="75" t="str">
        <f ca="1">IFERROR(__xludf.DUMMYFUNCTION("""COMPUTED_VALUE"""),"")</f>
        <v/>
      </c>
      <c r="AK133" s="82"/>
      <c r="AL133" s="83"/>
      <c r="AM133" s="75" t="str">
        <f ca="1">IFERROR(__xludf.DUMMYFUNCTION("""COMPUTED_VALUE"""),"")</f>
        <v/>
      </c>
      <c r="AN133" s="82"/>
      <c r="AO133" s="83"/>
      <c r="AP133" s="75" t="str">
        <f ca="1">IFERROR(__xludf.DUMMYFUNCTION("""COMPUTED_VALUE"""),"")</f>
        <v/>
      </c>
      <c r="AQ133" s="82"/>
      <c r="AR133" s="83"/>
      <c r="AS133" s="75" t="str">
        <f ca="1">IFERROR(__xludf.DUMMYFUNCTION("""COMPUTED_VALUE"""),"")</f>
        <v/>
      </c>
      <c r="AT133" s="82"/>
      <c r="AU133" s="83"/>
      <c r="AV133" s="75" t="str">
        <f ca="1">IFERROR(__xludf.DUMMYFUNCTION("""COMPUTED_VALUE"""),"")</f>
        <v/>
      </c>
      <c r="AW133" s="82"/>
      <c r="AX133" s="83"/>
      <c r="AY133" s="75" t="str">
        <f ca="1">IFERROR(__xludf.DUMMYFUNCTION("""COMPUTED_VALUE"""),"")</f>
        <v/>
      </c>
      <c r="AZ133" s="82"/>
      <c r="BA133" s="83"/>
      <c r="BB133" s="75" t="str">
        <f ca="1">IFERROR(__xludf.DUMMYFUNCTION("""COMPUTED_VALUE"""),"")</f>
        <v/>
      </c>
      <c r="BC133" s="82"/>
      <c r="BD133" s="83"/>
      <c r="BE133" s="75" t="str">
        <f ca="1">IFERROR(__xludf.DUMMYFUNCTION("""COMPUTED_VALUE"""),"")</f>
        <v/>
      </c>
      <c r="BF133" s="82"/>
      <c r="BG133" s="83"/>
      <c r="BH133" s="75" t="str">
        <f ca="1">IFERROR(__xludf.DUMMYFUNCTION("""COMPUTED_VALUE"""),"")</f>
        <v/>
      </c>
      <c r="BI133" s="46"/>
    </row>
    <row r="134" spans="1:61" ht="22.5" customHeight="1" x14ac:dyDescent="0.25">
      <c r="A134" s="46"/>
      <c r="B134" s="85"/>
      <c r="C134" s="75"/>
      <c r="D134" s="75"/>
      <c r="E134" s="75"/>
      <c r="F134" s="76"/>
      <c r="G134" s="77" t="str">
        <f ca="1">IFERROR(__xludf.DUMMYFUNCTION("""COMPUTED_VALUE"""),"")</f>
        <v/>
      </c>
      <c r="H134" s="78" t="str">
        <f ca="1">IFERROR(__xludf.DUMMYFUNCTION("""COMPUTED_VALUE"""),"")</f>
        <v/>
      </c>
      <c r="I134" s="79" t="str">
        <f ca="1">IFERROR(__xludf.DUMMYFUNCTION("""COMPUTED_VALUE"""),"")</f>
        <v/>
      </c>
      <c r="J134" s="264"/>
      <c r="K134" s="82" t="str">
        <f ca="1">IFERROR(__xludf.DUMMYFUNCTION("""COMPUTED_VALUE"""),"")</f>
        <v/>
      </c>
      <c r="L134" s="81" t="str">
        <f ca="1">IFERROR(__xludf.DUMMYFUNCTION("""COMPUTED_VALUE"""),"")</f>
        <v/>
      </c>
      <c r="M134" s="82"/>
      <c r="N134" s="83"/>
      <c r="O134" s="75" t="str">
        <f ca="1">IFERROR(__xludf.DUMMYFUNCTION("""COMPUTED_VALUE"""),"")</f>
        <v/>
      </c>
      <c r="P134" s="82"/>
      <c r="Q134" s="83"/>
      <c r="R134" s="75" t="str">
        <f ca="1">IFERROR(__xludf.DUMMYFUNCTION("""COMPUTED_VALUE"""),"")</f>
        <v/>
      </c>
      <c r="S134" s="82"/>
      <c r="T134" s="83"/>
      <c r="U134" s="75" t="str">
        <f ca="1">IFERROR(__xludf.DUMMYFUNCTION("""COMPUTED_VALUE"""),"")</f>
        <v/>
      </c>
      <c r="V134" s="82"/>
      <c r="W134" s="83"/>
      <c r="X134" s="75" t="str">
        <f ca="1">IFERROR(__xludf.DUMMYFUNCTION("""COMPUTED_VALUE"""),"")</f>
        <v/>
      </c>
      <c r="Y134" s="82"/>
      <c r="Z134" s="83"/>
      <c r="AA134" s="75" t="str">
        <f ca="1">IFERROR(__xludf.DUMMYFUNCTION("""COMPUTED_VALUE"""),"")</f>
        <v/>
      </c>
      <c r="AB134" s="82"/>
      <c r="AC134" s="83"/>
      <c r="AD134" s="75" t="str">
        <f ca="1">IFERROR(__xludf.DUMMYFUNCTION("""COMPUTED_VALUE"""),"")</f>
        <v/>
      </c>
      <c r="AE134" s="82"/>
      <c r="AF134" s="83"/>
      <c r="AG134" s="75" t="str">
        <f ca="1">IFERROR(__xludf.DUMMYFUNCTION("""COMPUTED_VALUE"""),"")</f>
        <v/>
      </c>
      <c r="AH134" s="82"/>
      <c r="AI134" s="83"/>
      <c r="AJ134" s="75" t="str">
        <f ca="1">IFERROR(__xludf.DUMMYFUNCTION("""COMPUTED_VALUE"""),"")</f>
        <v/>
      </c>
      <c r="AK134" s="82"/>
      <c r="AL134" s="83"/>
      <c r="AM134" s="75" t="str">
        <f ca="1">IFERROR(__xludf.DUMMYFUNCTION("""COMPUTED_VALUE"""),"")</f>
        <v/>
      </c>
      <c r="AN134" s="82"/>
      <c r="AO134" s="83"/>
      <c r="AP134" s="75" t="str">
        <f ca="1">IFERROR(__xludf.DUMMYFUNCTION("""COMPUTED_VALUE"""),"")</f>
        <v/>
      </c>
      <c r="AQ134" s="82"/>
      <c r="AR134" s="83"/>
      <c r="AS134" s="75" t="str">
        <f ca="1">IFERROR(__xludf.DUMMYFUNCTION("""COMPUTED_VALUE"""),"")</f>
        <v/>
      </c>
      <c r="AT134" s="82"/>
      <c r="AU134" s="83"/>
      <c r="AV134" s="75" t="str">
        <f ca="1">IFERROR(__xludf.DUMMYFUNCTION("""COMPUTED_VALUE"""),"")</f>
        <v/>
      </c>
      <c r="AW134" s="82"/>
      <c r="AX134" s="83"/>
      <c r="AY134" s="75" t="str">
        <f ca="1">IFERROR(__xludf.DUMMYFUNCTION("""COMPUTED_VALUE"""),"")</f>
        <v/>
      </c>
      <c r="AZ134" s="82"/>
      <c r="BA134" s="83"/>
      <c r="BB134" s="75" t="str">
        <f ca="1">IFERROR(__xludf.DUMMYFUNCTION("""COMPUTED_VALUE"""),"")</f>
        <v/>
      </c>
      <c r="BC134" s="82"/>
      <c r="BD134" s="83"/>
      <c r="BE134" s="75" t="str">
        <f ca="1">IFERROR(__xludf.DUMMYFUNCTION("""COMPUTED_VALUE"""),"")</f>
        <v/>
      </c>
      <c r="BF134" s="82"/>
      <c r="BG134" s="83"/>
      <c r="BH134" s="75" t="str">
        <f ca="1">IFERROR(__xludf.DUMMYFUNCTION("""COMPUTED_VALUE"""),"")</f>
        <v/>
      </c>
      <c r="BI134" s="46"/>
    </row>
    <row r="135" spans="1:61" ht="22.5" customHeight="1" x14ac:dyDescent="0.25">
      <c r="A135" s="46"/>
      <c r="B135" s="85"/>
      <c r="C135" s="75"/>
      <c r="D135" s="75"/>
      <c r="E135" s="75"/>
      <c r="F135" s="76"/>
      <c r="G135" s="77" t="str">
        <f ca="1">IFERROR(__xludf.DUMMYFUNCTION("""COMPUTED_VALUE"""),"")</f>
        <v/>
      </c>
      <c r="H135" s="78" t="str">
        <f ca="1">IFERROR(__xludf.DUMMYFUNCTION("""COMPUTED_VALUE"""),"")</f>
        <v/>
      </c>
      <c r="I135" s="79" t="str">
        <f ca="1">IFERROR(__xludf.DUMMYFUNCTION("""COMPUTED_VALUE"""),"")</f>
        <v/>
      </c>
      <c r="J135" s="264"/>
      <c r="K135" s="82" t="str">
        <f ca="1">IFERROR(__xludf.DUMMYFUNCTION("""COMPUTED_VALUE"""),"")</f>
        <v/>
      </c>
      <c r="L135" s="81" t="str">
        <f ca="1">IFERROR(__xludf.DUMMYFUNCTION("""COMPUTED_VALUE"""),"")</f>
        <v/>
      </c>
      <c r="M135" s="82"/>
      <c r="N135" s="83"/>
      <c r="O135" s="75" t="str">
        <f ca="1">IFERROR(__xludf.DUMMYFUNCTION("""COMPUTED_VALUE"""),"")</f>
        <v/>
      </c>
      <c r="P135" s="82"/>
      <c r="Q135" s="83"/>
      <c r="R135" s="75" t="str">
        <f ca="1">IFERROR(__xludf.DUMMYFUNCTION("""COMPUTED_VALUE"""),"")</f>
        <v/>
      </c>
      <c r="S135" s="82"/>
      <c r="T135" s="83"/>
      <c r="U135" s="75" t="str">
        <f ca="1">IFERROR(__xludf.DUMMYFUNCTION("""COMPUTED_VALUE"""),"")</f>
        <v/>
      </c>
      <c r="V135" s="82"/>
      <c r="W135" s="83"/>
      <c r="X135" s="75" t="str">
        <f ca="1">IFERROR(__xludf.DUMMYFUNCTION("""COMPUTED_VALUE"""),"")</f>
        <v/>
      </c>
      <c r="Y135" s="82"/>
      <c r="Z135" s="83"/>
      <c r="AA135" s="75" t="str">
        <f ca="1">IFERROR(__xludf.DUMMYFUNCTION("""COMPUTED_VALUE"""),"")</f>
        <v/>
      </c>
      <c r="AB135" s="82"/>
      <c r="AC135" s="83"/>
      <c r="AD135" s="75" t="str">
        <f ca="1">IFERROR(__xludf.DUMMYFUNCTION("""COMPUTED_VALUE"""),"")</f>
        <v/>
      </c>
      <c r="AE135" s="82"/>
      <c r="AF135" s="83"/>
      <c r="AG135" s="75" t="str">
        <f ca="1">IFERROR(__xludf.DUMMYFUNCTION("""COMPUTED_VALUE"""),"")</f>
        <v/>
      </c>
      <c r="AH135" s="82"/>
      <c r="AI135" s="83"/>
      <c r="AJ135" s="75" t="str">
        <f ca="1">IFERROR(__xludf.DUMMYFUNCTION("""COMPUTED_VALUE"""),"")</f>
        <v/>
      </c>
      <c r="AK135" s="82"/>
      <c r="AL135" s="83"/>
      <c r="AM135" s="75" t="str">
        <f ca="1">IFERROR(__xludf.DUMMYFUNCTION("""COMPUTED_VALUE"""),"")</f>
        <v/>
      </c>
      <c r="AN135" s="82"/>
      <c r="AO135" s="83"/>
      <c r="AP135" s="75" t="str">
        <f ca="1">IFERROR(__xludf.DUMMYFUNCTION("""COMPUTED_VALUE"""),"")</f>
        <v/>
      </c>
      <c r="AQ135" s="82"/>
      <c r="AR135" s="83"/>
      <c r="AS135" s="75" t="str">
        <f ca="1">IFERROR(__xludf.DUMMYFUNCTION("""COMPUTED_VALUE"""),"")</f>
        <v/>
      </c>
      <c r="AT135" s="82"/>
      <c r="AU135" s="83"/>
      <c r="AV135" s="75" t="str">
        <f ca="1">IFERROR(__xludf.DUMMYFUNCTION("""COMPUTED_VALUE"""),"")</f>
        <v/>
      </c>
      <c r="AW135" s="82"/>
      <c r="AX135" s="83"/>
      <c r="AY135" s="75" t="str">
        <f ca="1">IFERROR(__xludf.DUMMYFUNCTION("""COMPUTED_VALUE"""),"")</f>
        <v/>
      </c>
      <c r="AZ135" s="82"/>
      <c r="BA135" s="83"/>
      <c r="BB135" s="75" t="str">
        <f ca="1">IFERROR(__xludf.DUMMYFUNCTION("""COMPUTED_VALUE"""),"")</f>
        <v/>
      </c>
      <c r="BC135" s="82"/>
      <c r="BD135" s="83"/>
      <c r="BE135" s="75" t="str">
        <f ca="1">IFERROR(__xludf.DUMMYFUNCTION("""COMPUTED_VALUE"""),"")</f>
        <v/>
      </c>
      <c r="BF135" s="82"/>
      <c r="BG135" s="83"/>
      <c r="BH135" s="75" t="str">
        <f ca="1">IFERROR(__xludf.DUMMYFUNCTION("""COMPUTED_VALUE"""),"")</f>
        <v/>
      </c>
      <c r="BI135" s="46"/>
    </row>
    <row r="136" spans="1:61" ht="22.5" customHeight="1" x14ac:dyDescent="0.25">
      <c r="A136" s="46"/>
      <c r="B136" s="85"/>
      <c r="C136" s="75"/>
      <c r="D136" s="75"/>
      <c r="E136" s="75"/>
      <c r="F136" s="76"/>
      <c r="G136" s="77" t="str">
        <f ca="1">IFERROR(__xludf.DUMMYFUNCTION("""COMPUTED_VALUE"""),"")</f>
        <v/>
      </c>
      <c r="H136" s="78" t="str">
        <f ca="1">IFERROR(__xludf.DUMMYFUNCTION("""COMPUTED_VALUE"""),"")</f>
        <v/>
      </c>
      <c r="I136" s="79" t="str">
        <f ca="1">IFERROR(__xludf.DUMMYFUNCTION("""COMPUTED_VALUE"""),"")</f>
        <v/>
      </c>
      <c r="J136" s="264"/>
      <c r="K136" s="82" t="str">
        <f ca="1">IFERROR(__xludf.DUMMYFUNCTION("""COMPUTED_VALUE"""),"")</f>
        <v/>
      </c>
      <c r="L136" s="81" t="str">
        <f ca="1">IFERROR(__xludf.DUMMYFUNCTION("""COMPUTED_VALUE"""),"")</f>
        <v/>
      </c>
      <c r="M136" s="82"/>
      <c r="N136" s="83"/>
      <c r="O136" s="75" t="str">
        <f ca="1">IFERROR(__xludf.DUMMYFUNCTION("""COMPUTED_VALUE"""),"")</f>
        <v/>
      </c>
      <c r="P136" s="82"/>
      <c r="Q136" s="83"/>
      <c r="R136" s="75" t="str">
        <f ca="1">IFERROR(__xludf.DUMMYFUNCTION("""COMPUTED_VALUE"""),"")</f>
        <v/>
      </c>
      <c r="S136" s="82"/>
      <c r="T136" s="83"/>
      <c r="U136" s="75" t="str">
        <f ca="1">IFERROR(__xludf.DUMMYFUNCTION("""COMPUTED_VALUE"""),"")</f>
        <v/>
      </c>
      <c r="V136" s="82"/>
      <c r="W136" s="83"/>
      <c r="X136" s="75" t="str">
        <f ca="1">IFERROR(__xludf.DUMMYFUNCTION("""COMPUTED_VALUE"""),"")</f>
        <v/>
      </c>
      <c r="Y136" s="82"/>
      <c r="Z136" s="83"/>
      <c r="AA136" s="75" t="str">
        <f ca="1">IFERROR(__xludf.DUMMYFUNCTION("""COMPUTED_VALUE"""),"")</f>
        <v/>
      </c>
      <c r="AB136" s="82"/>
      <c r="AC136" s="83"/>
      <c r="AD136" s="75" t="str">
        <f ca="1">IFERROR(__xludf.DUMMYFUNCTION("""COMPUTED_VALUE"""),"")</f>
        <v/>
      </c>
      <c r="AE136" s="82"/>
      <c r="AF136" s="83"/>
      <c r="AG136" s="75" t="str">
        <f ca="1">IFERROR(__xludf.DUMMYFUNCTION("""COMPUTED_VALUE"""),"")</f>
        <v/>
      </c>
      <c r="AH136" s="82"/>
      <c r="AI136" s="83"/>
      <c r="AJ136" s="75" t="str">
        <f ca="1">IFERROR(__xludf.DUMMYFUNCTION("""COMPUTED_VALUE"""),"")</f>
        <v/>
      </c>
      <c r="AK136" s="82"/>
      <c r="AL136" s="83"/>
      <c r="AM136" s="75" t="str">
        <f ca="1">IFERROR(__xludf.DUMMYFUNCTION("""COMPUTED_VALUE"""),"")</f>
        <v/>
      </c>
      <c r="AN136" s="82"/>
      <c r="AO136" s="83"/>
      <c r="AP136" s="75" t="str">
        <f ca="1">IFERROR(__xludf.DUMMYFUNCTION("""COMPUTED_VALUE"""),"")</f>
        <v/>
      </c>
      <c r="AQ136" s="82"/>
      <c r="AR136" s="83"/>
      <c r="AS136" s="75" t="str">
        <f ca="1">IFERROR(__xludf.DUMMYFUNCTION("""COMPUTED_VALUE"""),"")</f>
        <v/>
      </c>
      <c r="AT136" s="82"/>
      <c r="AU136" s="83"/>
      <c r="AV136" s="75" t="str">
        <f ca="1">IFERROR(__xludf.DUMMYFUNCTION("""COMPUTED_VALUE"""),"")</f>
        <v/>
      </c>
      <c r="AW136" s="82"/>
      <c r="AX136" s="83"/>
      <c r="AY136" s="75" t="str">
        <f ca="1">IFERROR(__xludf.DUMMYFUNCTION("""COMPUTED_VALUE"""),"")</f>
        <v/>
      </c>
      <c r="AZ136" s="82"/>
      <c r="BA136" s="83"/>
      <c r="BB136" s="75" t="str">
        <f ca="1">IFERROR(__xludf.DUMMYFUNCTION("""COMPUTED_VALUE"""),"")</f>
        <v/>
      </c>
      <c r="BC136" s="82"/>
      <c r="BD136" s="83"/>
      <c r="BE136" s="75" t="str">
        <f ca="1">IFERROR(__xludf.DUMMYFUNCTION("""COMPUTED_VALUE"""),"")</f>
        <v/>
      </c>
      <c r="BF136" s="82"/>
      <c r="BG136" s="83"/>
      <c r="BH136" s="75" t="str">
        <f ca="1">IFERROR(__xludf.DUMMYFUNCTION("""COMPUTED_VALUE"""),"")</f>
        <v/>
      </c>
      <c r="BI136" s="46"/>
    </row>
    <row r="137" spans="1:61" ht="22.5" customHeight="1" x14ac:dyDescent="0.25">
      <c r="A137" s="46"/>
      <c r="B137" s="85"/>
      <c r="C137" s="75"/>
      <c r="D137" s="75"/>
      <c r="E137" s="75"/>
      <c r="F137" s="76"/>
      <c r="G137" s="77" t="str">
        <f ca="1">IFERROR(__xludf.DUMMYFUNCTION("""COMPUTED_VALUE"""),"")</f>
        <v/>
      </c>
      <c r="H137" s="78" t="str">
        <f ca="1">IFERROR(__xludf.DUMMYFUNCTION("""COMPUTED_VALUE"""),"")</f>
        <v/>
      </c>
      <c r="I137" s="79" t="str">
        <f ca="1">IFERROR(__xludf.DUMMYFUNCTION("""COMPUTED_VALUE"""),"")</f>
        <v/>
      </c>
      <c r="J137" s="264"/>
      <c r="K137" s="82" t="str">
        <f ca="1">IFERROR(__xludf.DUMMYFUNCTION("""COMPUTED_VALUE"""),"")</f>
        <v/>
      </c>
      <c r="L137" s="81" t="str">
        <f ca="1">IFERROR(__xludf.DUMMYFUNCTION("""COMPUTED_VALUE"""),"")</f>
        <v/>
      </c>
      <c r="M137" s="82"/>
      <c r="N137" s="83"/>
      <c r="O137" s="75" t="str">
        <f ca="1">IFERROR(__xludf.DUMMYFUNCTION("""COMPUTED_VALUE"""),"")</f>
        <v/>
      </c>
      <c r="P137" s="82"/>
      <c r="Q137" s="83"/>
      <c r="R137" s="75" t="str">
        <f ca="1">IFERROR(__xludf.DUMMYFUNCTION("""COMPUTED_VALUE"""),"")</f>
        <v/>
      </c>
      <c r="S137" s="82"/>
      <c r="T137" s="83"/>
      <c r="U137" s="75" t="str">
        <f ca="1">IFERROR(__xludf.DUMMYFUNCTION("""COMPUTED_VALUE"""),"")</f>
        <v/>
      </c>
      <c r="V137" s="82"/>
      <c r="W137" s="83"/>
      <c r="X137" s="75" t="str">
        <f ca="1">IFERROR(__xludf.DUMMYFUNCTION("""COMPUTED_VALUE"""),"")</f>
        <v/>
      </c>
      <c r="Y137" s="82"/>
      <c r="Z137" s="83"/>
      <c r="AA137" s="75" t="str">
        <f ca="1">IFERROR(__xludf.DUMMYFUNCTION("""COMPUTED_VALUE"""),"")</f>
        <v/>
      </c>
      <c r="AB137" s="82"/>
      <c r="AC137" s="83"/>
      <c r="AD137" s="75" t="str">
        <f ca="1">IFERROR(__xludf.DUMMYFUNCTION("""COMPUTED_VALUE"""),"")</f>
        <v/>
      </c>
      <c r="AE137" s="82"/>
      <c r="AF137" s="83"/>
      <c r="AG137" s="75" t="str">
        <f ca="1">IFERROR(__xludf.DUMMYFUNCTION("""COMPUTED_VALUE"""),"")</f>
        <v/>
      </c>
      <c r="AH137" s="82"/>
      <c r="AI137" s="83"/>
      <c r="AJ137" s="75" t="str">
        <f ca="1">IFERROR(__xludf.DUMMYFUNCTION("""COMPUTED_VALUE"""),"")</f>
        <v/>
      </c>
      <c r="AK137" s="82"/>
      <c r="AL137" s="83"/>
      <c r="AM137" s="75" t="str">
        <f ca="1">IFERROR(__xludf.DUMMYFUNCTION("""COMPUTED_VALUE"""),"")</f>
        <v/>
      </c>
      <c r="AN137" s="82"/>
      <c r="AO137" s="83"/>
      <c r="AP137" s="75" t="str">
        <f ca="1">IFERROR(__xludf.DUMMYFUNCTION("""COMPUTED_VALUE"""),"")</f>
        <v/>
      </c>
      <c r="AQ137" s="82"/>
      <c r="AR137" s="83"/>
      <c r="AS137" s="75" t="str">
        <f ca="1">IFERROR(__xludf.DUMMYFUNCTION("""COMPUTED_VALUE"""),"")</f>
        <v/>
      </c>
      <c r="AT137" s="82"/>
      <c r="AU137" s="83"/>
      <c r="AV137" s="75" t="str">
        <f ca="1">IFERROR(__xludf.DUMMYFUNCTION("""COMPUTED_VALUE"""),"")</f>
        <v/>
      </c>
      <c r="AW137" s="82"/>
      <c r="AX137" s="83"/>
      <c r="AY137" s="75" t="str">
        <f ca="1">IFERROR(__xludf.DUMMYFUNCTION("""COMPUTED_VALUE"""),"")</f>
        <v/>
      </c>
      <c r="AZ137" s="82"/>
      <c r="BA137" s="83"/>
      <c r="BB137" s="75" t="str">
        <f ca="1">IFERROR(__xludf.DUMMYFUNCTION("""COMPUTED_VALUE"""),"")</f>
        <v/>
      </c>
      <c r="BC137" s="82"/>
      <c r="BD137" s="83"/>
      <c r="BE137" s="75" t="str">
        <f ca="1">IFERROR(__xludf.DUMMYFUNCTION("""COMPUTED_VALUE"""),"")</f>
        <v/>
      </c>
      <c r="BF137" s="82"/>
      <c r="BG137" s="83"/>
      <c r="BH137" s="75" t="str">
        <f ca="1">IFERROR(__xludf.DUMMYFUNCTION("""COMPUTED_VALUE"""),"")</f>
        <v/>
      </c>
      <c r="BI137" s="46"/>
    </row>
    <row r="138" spans="1:61" ht="22.5" customHeight="1" x14ac:dyDescent="0.25">
      <c r="A138" s="46"/>
      <c r="B138" s="85"/>
      <c r="C138" s="75"/>
      <c r="D138" s="75"/>
      <c r="E138" s="75"/>
      <c r="F138" s="76"/>
      <c r="G138" s="77" t="str">
        <f ca="1">IFERROR(__xludf.DUMMYFUNCTION("""COMPUTED_VALUE"""),"")</f>
        <v/>
      </c>
      <c r="H138" s="78" t="str">
        <f ca="1">IFERROR(__xludf.DUMMYFUNCTION("""COMPUTED_VALUE"""),"")</f>
        <v/>
      </c>
      <c r="I138" s="79" t="str">
        <f ca="1">IFERROR(__xludf.DUMMYFUNCTION("""COMPUTED_VALUE"""),"")</f>
        <v/>
      </c>
      <c r="J138" s="264"/>
      <c r="K138" s="82" t="str">
        <f ca="1">IFERROR(__xludf.DUMMYFUNCTION("""COMPUTED_VALUE"""),"")</f>
        <v/>
      </c>
      <c r="L138" s="81" t="str">
        <f ca="1">IFERROR(__xludf.DUMMYFUNCTION("""COMPUTED_VALUE"""),"")</f>
        <v/>
      </c>
      <c r="M138" s="82"/>
      <c r="N138" s="83"/>
      <c r="O138" s="75" t="str">
        <f ca="1">IFERROR(__xludf.DUMMYFUNCTION("""COMPUTED_VALUE"""),"")</f>
        <v/>
      </c>
      <c r="P138" s="82"/>
      <c r="Q138" s="83"/>
      <c r="R138" s="75" t="str">
        <f ca="1">IFERROR(__xludf.DUMMYFUNCTION("""COMPUTED_VALUE"""),"")</f>
        <v/>
      </c>
      <c r="S138" s="82"/>
      <c r="T138" s="83"/>
      <c r="U138" s="75" t="str">
        <f ca="1">IFERROR(__xludf.DUMMYFUNCTION("""COMPUTED_VALUE"""),"")</f>
        <v/>
      </c>
      <c r="V138" s="82"/>
      <c r="W138" s="83"/>
      <c r="X138" s="75" t="str">
        <f ca="1">IFERROR(__xludf.DUMMYFUNCTION("""COMPUTED_VALUE"""),"")</f>
        <v/>
      </c>
      <c r="Y138" s="82"/>
      <c r="Z138" s="83"/>
      <c r="AA138" s="75" t="str">
        <f ca="1">IFERROR(__xludf.DUMMYFUNCTION("""COMPUTED_VALUE"""),"")</f>
        <v/>
      </c>
      <c r="AB138" s="82"/>
      <c r="AC138" s="83"/>
      <c r="AD138" s="75" t="str">
        <f ca="1">IFERROR(__xludf.DUMMYFUNCTION("""COMPUTED_VALUE"""),"")</f>
        <v/>
      </c>
      <c r="AE138" s="82"/>
      <c r="AF138" s="83"/>
      <c r="AG138" s="75" t="str">
        <f ca="1">IFERROR(__xludf.DUMMYFUNCTION("""COMPUTED_VALUE"""),"")</f>
        <v/>
      </c>
      <c r="AH138" s="82"/>
      <c r="AI138" s="83"/>
      <c r="AJ138" s="75" t="str">
        <f ca="1">IFERROR(__xludf.DUMMYFUNCTION("""COMPUTED_VALUE"""),"")</f>
        <v/>
      </c>
      <c r="AK138" s="82"/>
      <c r="AL138" s="83"/>
      <c r="AM138" s="75" t="str">
        <f ca="1">IFERROR(__xludf.DUMMYFUNCTION("""COMPUTED_VALUE"""),"")</f>
        <v/>
      </c>
      <c r="AN138" s="82"/>
      <c r="AO138" s="83"/>
      <c r="AP138" s="75" t="str">
        <f ca="1">IFERROR(__xludf.DUMMYFUNCTION("""COMPUTED_VALUE"""),"")</f>
        <v/>
      </c>
      <c r="AQ138" s="82"/>
      <c r="AR138" s="83"/>
      <c r="AS138" s="75" t="str">
        <f ca="1">IFERROR(__xludf.DUMMYFUNCTION("""COMPUTED_VALUE"""),"")</f>
        <v/>
      </c>
      <c r="AT138" s="82"/>
      <c r="AU138" s="83"/>
      <c r="AV138" s="75" t="str">
        <f ca="1">IFERROR(__xludf.DUMMYFUNCTION("""COMPUTED_VALUE"""),"")</f>
        <v/>
      </c>
      <c r="AW138" s="82"/>
      <c r="AX138" s="83"/>
      <c r="AY138" s="75" t="str">
        <f ca="1">IFERROR(__xludf.DUMMYFUNCTION("""COMPUTED_VALUE"""),"")</f>
        <v/>
      </c>
      <c r="AZ138" s="82"/>
      <c r="BA138" s="83"/>
      <c r="BB138" s="75" t="str">
        <f ca="1">IFERROR(__xludf.DUMMYFUNCTION("""COMPUTED_VALUE"""),"")</f>
        <v/>
      </c>
      <c r="BC138" s="82"/>
      <c r="BD138" s="83"/>
      <c r="BE138" s="75" t="str">
        <f ca="1">IFERROR(__xludf.DUMMYFUNCTION("""COMPUTED_VALUE"""),"")</f>
        <v/>
      </c>
      <c r="BF138" s="82"/>
      <c r="BG138" s="83"/>
      <c r="BH138" s="75" t="str">
        <f ca="1">IFERROR(__xludf.DUMMYFUNCTION("""COMPUTED_VALUE"""),"")</f>
        <v/>
      </c>
      <c r="BI138" s="46"/>
    </row>
    <row r="139" spans="1:61" ht="22.5" customHeight="1" x14ac:dyDescent="0.25">
      <c r="A139" s="46"/>
      <c r="B139" s="85"/>
      <c r="C139" s="75"/>
      <c r="D139" s="75"/>
      <c r="E139" s="75"/>
      <c r="F139" s="76"/>
      <c r="G139" s="77" t="str">
        <f ca="1">IFERROR(__xludf.DUMMYFUNCTION("""COMPUTED_VALUE"""),"")</f>
        <v/>
      </c>
      <c r="H139" s="78" t="str">
        <f ca="1">IFERROR(__xludf.DUMMYFUNCTION("""COMPUTED_VALUE"""),"")</f>
        <v/>
      </c>
      <c r="I139" s="79" t="str">
        <f ca="1">IFERROR(__xludf.DUMMYFUNCTION("""COMPUTED_VALUE"""),"")</f>
        <v/>
      </c>
      <c r="J139" s="264"/>
      <c r="K139" s="82" t="str">
        <f ca="1">IFERROR(__xludf.DUMMYFUNCTION("""COMPUTED_VALUE"""),"")</f>
        <v/>
      </c>
      <c r="L139" s="81" t="str">
        <f ca="1">IFERROR(__xludf.DUMMYFUNCTION("""COMPUTED_VALUE"""),"")</f>
        <v/>
      </c>
      <c r="M139" s="82"/>
      <c r="N139" s="83"/>
      <c r="O139" s="75" t="str">
        <f ca="1">IFERROR(__xludf.DUMMYFUNCTION("""COMPUTED_VALUE"""),"")</f>
        <v/>
      </c>
      <c r="P139" s="82"/>
      <c r="Q139" s="83"/>
      <c r="R139" s="75" t="str">
        <f ca="1">IFERROR(__xludf.DUMMYFUNCTION("""COMPUTED_VALUE"""),"")</f>
        <v/>
      </c>
      <c r="S139" s="82"/>
      <c r="T139" s="83"/>
      <c r="U139" s="75" t="str">
        <f ca="1">IFERROR(__xludf.DUMMYFUNCTION("""COMPUTED_VALUE"""),"")</f>
        <v/>
      </c>
      <c r="V139" s="82"/>
      <c r="W139" s="83"/>
      <c r="X139" s="75" t="str">
        <f ca="1">IFERROR(__xludf.DUMMYFUNCTION("""COMPUTED_VALUE"""),"")</f>
        <v/>
      </c>
      <c r="Y139" s="82"/>
      <c r="Z139" s="83"/>
      <c r="AA139" s="75" t="str">
        <f ca="1">IFERROR(__xludf.DUMMYFUNCTION("""COMPUTED_VALUE"""),"")</f>
        <v/>
      </c>
      <c r="AB139" s="82"/>
      <c r="AC139" s="83"/>
      <c r="AD139" s="75" t="str">
        <f ca="1">IFERROR(__xludf.DUMMYFUNCTION("""COMPUTED_VALUE"""),"")</f>
        <v/>
      </c>
      <c r="AE139" s="82"/>
      <c r="AF139" s="83"/>
      <c r="AG139" s="75" t="str">
        <f ca="1">IFERROR(__xludf.DUMMYFUNCTION("""COMPUTED_VALUE"""),"")</f>
        <v/>
      </c>
      <c r="AH139" s="82"/>
      <c r="AI139" s="83"/>
      <c r="AJ139" s="75" t="str">
        <f ca="1">IFERROR(__xludf.DUMMYFUNCTION("""COMPUTED_VALUE"""),"")</f>
        <v/>
      </c>
      <c r="AK139" s="82"/>
      <c r="AL139" s="83"/>
      <c r="AM139" s="75" t="str">
        <f ca="1">IFERROR(__xludf.DUMMYFUNCTION("""COMPUTED_VALUE"""),"")</f>
        <v/>
      </c>
      <c r="AN139" s="82"/>
      <c r="AO139" s="83"/>
      <c r="AP139" s="75" t="str">
        <f ca="1">IFERROR(__xludf.DUMMYFUNCTION("""COMPUTED_VALUE"""),"")</f>
        <v/>
      </c>
      <c r="AQ139" s="82"/>
      <c r="AR139" s="83"/>
      <c r="AS139" s="75" t="str">
        <f ca="1">IFERROR(__xludf.DUMMYFUNCTION("""COMPUTED_VALUE"""),"")</f>
        <v/>
      </c>
      <c r="AT139" s="82"/>
      <c r="AU139" s="83"/>
      <c r="AV139" s="75" t="str">
        <f ca="1">IFERROR(__xludf.DUMMYFUNCTION("""COMPUTED_VALUE"""),"")</f>
        <v/>
      </c>
      <c r="AW139" s="82"/>
      <c r="AX139" s="83"/>
      <c r="AY139" s="75" t="str">
        <f ca="1">IFERROR(__xludf.DUMMYFUNCTION("""COMPUTED_VALUE"""),"")</f>
        <v/>
      </c>
      <c r="AZ139" s="82"/>
      <c r="BA139" s="83"/>
      <c r="BB139" s="75" t="str">
        <f ca="1">IFERROR(__xludf.DUMMYFUNCTION("""COMPUTED_VALUE"""),"")</f>
        <v/>
      </c>
      <c r="BC139" s="82"/>
      <c r="BD139" s="83"/>
      <c r="BE139" s="75" t="str">
        <f ca="1">IFERROR(__xludf.DUMMYFUNCTION("""COMPUTED_VALUE"""),"")</f>
        <v/>
      </c>
      <c r="BF139" s="82"/>
      <c r="BG139" s="83"/>
      <c r="BH139" s="75" t="str">
        <f ca="1">IFERROR(__xludf.DUMMYFUNCTION("""COMPUTED_VALUE"""),"")</f>
        <v/>
      </c>
      <c r="BI139" s="46"/>
    </row>
    <row r="140" spans="1:61" ht="22.5" customHeight="1" x14ac:dyDescent="0.25">
      <c r="A140" s="46"/>
      <c r="B140" s="85"/>
      <c r="C140" s="75"/>
      <c r="D140" s="75"/>
      <c r="E140" s="75"/>
      <c r="F140" s="76"/>
      <c r="G140" s="77" t="str">
        <f ca="1">IFERROR(__xludf.DUMMYFUNCTION("""COMPUTED_VALUE"""),"")</f>
        <v/>
      </c>
      <c r="H140" s="78" t="str">
        <f ca="1">IFERROR(__xludf.DUMMYFUNCTION("""COMPUTED_VALUE"""),"")</f>
        <v/>
      </c>
      <c r="I140" s="79" t="str">
        <f ca="1">IFERROR(__xludf.DUMMYFUNCTION("""COMPUTED_VALUE"""),"")</f>
        <v/>
      </c>
      <c r="J140" s="264"/>
      <c r="K140" s="82" t="str">
        <f ca="1">IFERROR(__xludf.DUMMYFUNCTION("""COMPUTED_VALUE"""),"")</f>
        <v/>
      </c>
      <c r="L140" s="81" t="str">
        <f ca="1">IFERROR(__xludf.DUMMYFUNCTION("""COMPUTED_VALUE"""),"")</f>
        <v/>
      </c>
      <c r="M140" s="82"/>
      <c r="N140" s="83"/>
      <c r="O140" s="75" t="str">
        <f ca="1">IFERROR(__xludf.DUMMYFUNCTION("""COMPUTED_VALUE"""),"")</f>
        <v/>
      </c>
      <c r="P140" s="82"/>
      <c r="Q140" s="83"/>
      <c r="R140" s="75" t="str">
        <f ca="1">IFERROR(__xludf.DUMMYFUNCTION("""COMPUTED_VALUE"""),"")</f>
        <v/>
      </c>
      <c r="S140" s="82"/>
      <c r="T140" s="83"/>
      <c r="U140" s="75" t="str">
        <f ca="1">IFERROR(__xludf.DUMMYFUNCTION("""COMPUTED_VALUE"""),"")</f>
        <v/>
      </c>
      <c r="V140" s="82"/>
      <c r="W140" s="83"/>
      <c r="X140" s="75" t="str">
        <f ca="1">IFERROR(__xludf.DUMMYFUNCTION("""COMPUTED_VALUE"""),"")</f>
        <v/>
      </c>
      <c r="Y140" s="82"/>
      <c r="Z140" s="83"/>
      <c r="AA140" s="75" t="str">
        <f ca="1">IFERROR(__xludf.DUMMYFUNCTION("""COMPUTED_VALUE"""),"")</f>
        <v/>
      </c>
      <c r="AB140" s="82"/>
      <c r="AC140" s="83"/>
      <c r="AD140" s="75" t="str">
        <f ca="1">IFERROR(__xludf.DUMMYFUNCTION("""COMPUTED_VALUE"""),"")</f>
        <v/>
      </c>
      <c r="AE140" s="82"/>
      <c r="AF140" s="83"/>
      <c r="AG140" s="75" t="str">
        <f ca="1">IFERROR(__xludf.DUMMYFUNCTION("""COMPUTED_VALUE"""),"")</f>
        <v/>
      </c>
      <c r="AH140" s="82"/>
      <c r="AI140" s="83"/>
      <c r="AJ140" s="75" t="str">
        <f ca="1">IFERROR(__xludf.DUMMYFUNCTION("""COMPUTED_VALUE"""),"")</f>
        <v/>
      </c>
      <c r="AK140" s="82"/>
      <c r="AL140" s="83"/>
      <c r="AM140" s="75" t="str">
        <f ca="1">IFERROR(__xludf.DUMMYFUNCTION("""COMPUTED_VALUE"""),"")</f>
        <v/>
      </c>
      <c r="AN140" s="82"/>
      <c r="AO140" s="83"/>
      <c r="AP140" s="75" t="str">
        <f ca="1">IFERROR(__xludf.DUMMYFUNCTION("""COMPUTED_VALUE"""),"")</f>
        <v/>
      </c>
      <c r="AQ140" s="82"/>
      <c r="AR140" s="83"/>
      <c r="AS140" s="75" t="str">
        <f ca="1">IFERROR(__xludf.DUMMYFUNCTION("""COMPUTED_VALUE"""),"")</f>
        <v/>
      </c>
      <c r="AT140" s="82"/>
      <c r="AU140" s="83"/>
      <c r="AV140" s="75" t="str">
        <f ca="1">IFERROR(__xludf.DUMMYFUNCTION("""COMPUTED_VALUE"""),"")</f>
        <v/>
      </c>
      <c r="AW140" s="82"/>
      <c r="AX140" s="83"/>
      <c r="AY140" s="75" t="str">
        <f ca="1">IFERROR(__xludf.DUMMYFUNCTION("""COMPUTED_VALUE"""),"")</f>
        <v/>
      </c>
      <c r="AZ140" s="82"/>
      <c r="BA140" s="83"/>
      <c r="BB140" s="75" t="str">
        <f ca="1">IFERROR(__xludf.DUMMYFUNCTION("""COMPUTED_VALUE"""),"")</f>
        <v/>
      </c>
      <c r="BC140" s="82"/>
      <c r="BD140" s="83"/>
      <c r="BE140" s="75" t="str">
        <f ca="1">IFERROR(__xludf.DUMMYFUNCTION("""COMPUTED_VALUE"""),"")</f>
        <v/>
      </c>
      <c r="BF140" s="82"/>
      <c r="BG140" s="83"/>
      <c r="BH140" s="75" t="str">
        <f ca="1">IFERROR(__xludf.DUMMYFUNCTION("""COMPUTED_VALUE"""),"")</f>
        <v/>
      </c>
      <c r="BI140" s="46"/>
    </row>
    <row r="141" spans="1:61" ht="22.5" customHeight="1" x14ac:dyDescent="0.25">
      <c r="A141" s="46"/>
      <c r="B141" s="85"/>
      <c r="C141" s="75"/>
      <c r="D141" s="75"/>
      <c r="E141" s="75"/>
      <c r="F141" s="76"/>
      <c r="G141" s="77" t="str">
        <f ca="1">IFERROR(__xludf.DUMMYFUNCTION("""COMPUTED_VALUE"""),"")</f>
        <v/>
      </c>
      <c r="H141" s="78" t="str">
        <f ca="1">IFERROR(__xludf.DUMMYFUNCTION("""COMPUTED_VALUE"""),"")</f>
        <v/>
      </c>
      <c r="I141" s="79" t="str">
        <f ca="1">IFERROR(__xludf.DUMMYFUNCTION("""COMPUTED_VALUE"""),"")</f>
        <v/>
      </c>
      <c r="J141" s="264"/>
      <c r="K141" s="82" t="str">
        <f ca="1">IFERROR(__xludf.DUMMYFUNCTION("""COMPUTED_VALUE"""),"")</f>
        <v/>
      </c>
      <c r="L141" s="81" t="str">
        <f ca="1">IFERROR(__xludf.DUMMYFUNCTION("""COMPUTED_VALUE"""),"")</f>
        <v/>
      </c>
      <c r="M141" s="82"/>
      <c r="N141" s="83"/>
      <c r="O141" s="75" t="str">
        <f ca="1">IFERROR(__xludf.DUMMYFUNCTION("""COMPUTED_VALUE"""),"")</f>
        <v/>
      </c>
      <c r="P141" s="82"/>
      <c r="Q141" s="83"/>
      <c r="R141" s="75" t="str">
        <f ca="1">IFERROR(__xludf.DUMMYFUNCTION("""COMPUTED_VALUE"""),"")</f>
        <v/>
      </c>
      <c r="S141" s="82"/>
      <c r="T141" s="83"/>
      <c r="U141" s="75" t="str">
        <f ca="1">IFERROR(__xludf.DUMMYFUNCTION("""COMPUTED_VALUE"""),"")</f>
        <v/>
      </c>
      <c r="V141" s="82"/>
      <c r="W141" s="83"/>
      <c r="X141" s="75" t="str">
        <f ca="1">IFERROR(__xludf.DUMMYFUNCTION("""COMPUTED_VALUE"""),"")</f>
        <v/>
      </c>
      <c r="Y141" s="82"/>
      <c r="Z141" s="83"/>
      <c r="AA141" s="75" t="str">
        <f ca="1">IFERROR(__xludf.DUMMYFUNCTION("""COMPUTED_VALUE"""),"")</f>
        <v/>
      </c>
      <c r="AB141" s="82"/>
      <c r="AC141" s="83"/>
      <c r="AD141" s="75" t="str">
        <f ca="1">IFERROR(__xludf.DUMMYFUNCTION("""COMPUTED_VALUE"""),"")</f>
        <v/>
      </c>
      <c r="AE141" s="82"/>
      <c r="AF141" s="83"/>
      <c r="AG141" s="75" t="str">
        <f ca="1">IFERROR(__xludf.DUMMYFUNCTION("""COMPUTED_VALUE"""),"")</f>
        <v/>
      </c>
      <c r="AH141" s="82"/>
      <c r="AI141" s="83"/>
      <c r="AJ141" s="75" t="str">
        <f ca="1">IFERROR(__xludf.DUMMYFUNCTION("""COMPUTED_VALUE"""),"")</f>
        <v/>
      </c>
      <c r="AK141" s="82"/>
      <c r="AL141" s="83"/>
      <c r="AM141" s="75" t="str">
        <f ca="1">IFERROR(__xludf.DUMMYFUNCTION("""COMPUTED_VALUE"""),"")</f>
        <v/>
      </c>
      <c r="AN141" s="82"/>
      <c r="AO141" s="83"/>
      <c r="AP141" s="75" t="str">
        <f ca="1">IFERROR(__xludf.DUMMYFUNCTION("""COMPUTED_VALUE"""),"")</f>
        <v/>
      </c>
      <c r="AQ141" s="82"/>
      <c r="AR141" s="83"/>
      <c r="AS141" s="75" t="str">
        <f ca="1">IFERROR(__xludf.DUMMYFUNCTION("""COMPUTED_VALUE"""),"")</f>
        <v/>
      </c>
      <c r="AT141" s="82"/>
      <c r="AU141" s="83"/>
      <c r="AV141" s="75" t="str">
        <f ca="1">IFERROR(__xludf.DUMMYFUNCTION("""COMPUTED_VALUE"""),"")</f>
        <v/>
      </c>
      <c r="AW141" s="82"/>
      <c r="AX141" s="83"/>
      <c r="AY141" s="75" t="str">
        <f ca="1">IFERROR(__xludf.DUMMYFUNCTION("""COMPUTED_VALUE"""),"")</f>
        <v/>
      </c>
      <c r="AZ141" s="82"/>
      <c r="BA141" s="83"/>
      <c r="BB141" s="75" t="str">
        <f ca="1">IFERROR(__xludf.DUMMYFUNCTION("""COMPUTED_VALUE"""),"")</f>
        <v/>
      </c>
      <c r="BC141" s="82"/>
      <c r="BD141" s="83"/>
      <c r="BE141" s="75" t="str">
        <f ca="1">IFERROR(__xludf.DUMMYFUNCTION("""COMPUTED_VALUE"""),"")</f>
        <v/>
      </c>
      <c r="BF141" s="82"/>
      <c r="BG141" s="83"/>
      <c r="BH141" s="75" t="str">
        <f ca="1">IFERROR(__xludf.DUMMYFUNCTION("""COMPUTED_VALUE"""),"")</f>
        <v/>
      </c>
      <c r="BI141" s="46"/>
    </row>
    <row r="142" spans="1:61" ht="22.5" customHeight="1" x14ac:dyDescent="0.25">
      <c r="A142" s="46"/>
      <c r="B142" s="85"/>
      <c r="C142" s="75"/>
      <c r="D142" s="75"/>
      <c r="E142" s="75"/>
      <c r="F142" s="76"/>
      <c r="G142" s="77" t="str">
        <f ca="1">IFERROR(__xludf.DUMMYFUNCTION("""COMPUTED_VALUE"""),"")</f>
        <v/>
      </c>
      <c r="H142" s="78" t="str">
        <f ca="1">IFERROR(__xludf.DUMMYFUNCTION("""COMPUTED_VALUE"""),"")</f>
        <v/>
      </c>
      <c r="I142" s="79" t="str">
        <f ca="1">IFERROR(__xludf.DUMMYFUNCTION("""COMPUTED_VALUE"""),"")</f>
        <v/>
      </c>
      <c r="J142" s="264"/>
      <c r="K142" s="82" t="str">
        <f ca="1">IFERROR(__xludf.DUMMYFUNCTION("""COMPUTED_VALUE"""),"")</f>
        <v/>
      </c>
      <c r="L142" s="81" t="str">
        <f ca="1">IFERROR(__xludf.DUMMYFUNCTION("""COMPUTED_VALUE"""),"")</f>
        <v/>
      </c>
      <c r="M142" s="82"/>
      <c r="N142" s="83"/>
      <c r="O142" s="75" t="str">
        <f ca="1">IFERROR(__xludf.DUMMYFUNCTION("""COMPUTED_VALUE"""),"")</f>
        <v/>
      </c>
      <c r="P142" s="82"/>
      <c r="Q142" s="83"/>
      <c r="R142" s="75" t="str">
        <f ca="1">IFERROR(__xludf.DUMMYFUNCTION("""COMPUTED_VALUE"""),"")</f>
        <v/>
      </c>
      <c r="S142" s="82"/>
      <c r="T142" s="83"/>
      <c r="U142" s="75" t="str">
        <f ca="1">IFERROR(__xludf.DUMMYFUNCTION("""COMPUTED_VALUE"""),"")</f>
        <v/>
      </c>
      <c r="V142" s="82"/>
      <c r="W142" s="83"/>
      <c r="X142" s="75" t="str">
        <f ca="1">IFERROR(__xludf.DUMMYFUNCTION("""COMPUTED_VALUE"""),"")</f>
        <v/>
      </c>
      <c r="Y142" s="82"/>
      <c r="Z142" s="83"/>
      <c r="AA142" s="75" t="str">
        <f ca="1">IFERROR(__xludf.DUMMYFUNCTION("""COMPUTED_VALUE"""),"")</f>
        <v/>
      </c>
      <c r="AB142" s="82"/>
      <c r="AC142" s="83"/>
      <c r="AD142" s="75" t="str">
        <f ca="1">IFERROR(__xludf.DUMMYFUNCTION("""COMPUTED_VALUE"""),"")</f>
        <v/>
      </c>
      <c r="AE142" s="82"/>
      <c r="AF142" s="83"/>
      <c r="AG142" s="75" t="str">
        <f ca="1">IFERROR(__xludf.DUMMYFUNCTION("""COMPUTED_VALUE"""),"")</f>
        <v/>
      </c>
      <c r="AH142" s="82"/>
      <c r="AI142" s="83"/>
      <c r="AJ142" s="75" t="str">
        <f ca="1">IFERROR(__xludf.DUMMYFUNCTION("""COMPUTED_VALUE"""),"")</f>
        <v/>
      </c>
      <c r="AK142" s="82"/>
      <c r="AL142" s="83"/>
      <c r="AM142" s="75" t="str">
        <f ca="1">IFERROR(__xludf.DUMMYFUNCTION("""COMPUTED_VALUE"""),"")</f>
        <v/>
      </c>
      <c r="AN142" s="82"/>
      <c r="AO142" s="83"/>
      <c r="AP142" s="75" t="str">
        <f ca="1">IFERROR(__xludf.DUMMYFUNCTION("""COMPUTED_VALUE"""),"")</f>
        <v/>
      </c>
      <c r="AQ142" s="82"/>
      <c r="AR142" s="83"/>
      <c r="AS142" s="75" t="str">
        <f ca="1">IFERROR(__xludf.DUMMYFUNCTION("""COMPUTED_VALUE"""),"")</f>
        <v/>
      </c>
      <c r="AT142" s="82"/>
      <c r="AU142" s="83"/>
      <c r="AV142" s="75" t="str">
        <f ca="1">IFERROR(__xludf.DUMMYFUNCTION("""COMPUTED_VALUE"""),"")</f>
        <v/>
      </c>
      <c r="AW142" s="82"/>
      <c r="AX142" s="83"/>
      <c r="AY142" s="75" t="str">
        <f ca="1">IFERROR(__xludf.DUMMYFUNCTION("""COMPUTED_VALUE"""),"")</f>
        <v/>
      </c>
      <c r="AZ142" s="82"/>
      <c r="BA142" s="83"/>
      <c r="BB142" s="75" t="str">
        <f ca="1">IFERROR(__xludf.DUMMYFUNCTION("""COMPUTED_VALUE"""),"")</f>
        <v/>
      </c>
      <c r="BC142" s="82"/>
      <c r="BD142" s="83"/>
      <c r="BE142" s="75" t="str">
        <f ca="1">IFERROR(__xludf.DUMMYFUNCTION("""COMPUTED_VALUE"""),"")</f>
        <v/>
      </c>
      <c r="BF142" s="82"/>
      <c r="BG142" s="83"/>
      <c r="BH142" s="75" t="str">
        <f ca="1">IFERROR(__xludf.DUMMYFUNCTION("""COMPUTED_VALUE"""),"")</f>
        <v/>
      </c>
      <c r="BI142" s="46"/>
    </row>
    <row r="143" spans="1:61" ht="22.5" customHeight="1" x14ac:dyDescent="0.25">
      <c r="A143" s="46"/>
      <c r="B143" s="85"/>
      <c r="C143" s="75"/>
      <c r="D143" s="75"/>
      <c r="E143" s="75"/>
      <c r="F143" s="76"/>
      <c r="G143" s="77" t="str">
        <f ca="1">IFERROR(__xludf.DUMMYFUNCTION("""COMPUTED_VALUE"""),"")</f>
        <v/>
      </c>
      <c r="H143" s="78" t="str">
        <f ca="1">IFERROR(__xludf.DUMMYFUNCTION("""COMPUTED_VALUE"""),"")</f>
        <v/>
      </c>
      <c r="I143" s="79" t="str">
        <f ca="1">IFERROR(__xludf.DUMMYFUNCTION("""COMPUTED_VALUE"""),"")</f>
        <v/>
      </c>
      <c r="J143" s="264"/>
      <c r="K143" s="82" t="str">
        <f ca="1">IFERROR(__xludf.DUMMYFUNCTION("""COMPUTED_VALUE"""),"")</f>
        <v/>
      </c>
      <c r="L143" s="81" t="str">
        <f ca="1">IFERROR(__xludf.DUMMYFUNCTION("""COMPUTED_VALUE"""),"")</f>
        <v/>
      </c>
      <c r="M143" s="82"/>
      <c r="N143" s="83"/>
      <c r="O143" s="75" t="str">
        <f ca="1">IFERROR(__xludf.DUMMYFUNCTION("""COMPUTED_VALUE"""),"")</f>
        <v/>
      </c>
      <c r="P143" s="82"/>
      <c r="Q143" s="83"/>
      <c r="R143" s="75" t="str">
        <f ca="1">IFERROR(__xludf.DUMMYFUNCTION("""COMPUTED_VALUE"""),"")</f>
        <v/>
      </c>
      <c r="S143" s="82"/>
      <c r="T143" s="83"/>
      <c r="U143" s="75" t="str">
        <f ca="1">IFERROR(__xludf.DUMMYFUNCTION("""COMPUTED_VALUE"""),"")</f>
        <v/>
      </c>
      <c r="V143" s="82"/>
      <c r="W143" s="83"/>
      <c r="X143" s="75" t="str">
        <f ca="1">IFERROR(__xludf.DUMMYFUNCTION("""COMPUTED_VALUE"""),"")</f>
        <v/>
      </c>
      <c r="Y143" s="82"/>
      <c r="Z143" s="83"/>
      <c r="AA143" s="75" t="str">
        <f ca="1">IFERROR(__xludf.DUMMYFUNCTION("""COMPUTED_VALUE"""),"")</f>
        <v/>
      </c>
      <c r="AB143" s="82"/>
      <c r="AC143" s="83"/>
      <c r="AD143" s="75" t="str">
        <f ca="1">IFERROR(__xludf.DUMMYFUNCTION("""COMPUTED_VALUE"""),"")</f>
        <v/>
      </c>
      <c r="AE143" s="82"/>
      <c r="AF143" s="83"/>
      <c r="AG143" s="75" t="str">
        <f ca="1">IFERROR(__xludf.DUMMYFUNCTION("""COMPUTED_VALUE"""),"")</f>
        <v/>
      </c>
      <c r="AH143" s="82"/>
      <c r="AI143" s="83"/>
      <c r="AJ143" s="75" t="str">
        <f ca="1">IFERROR(__xludf.DUMMYFUNCTION("""COMPUTED_VALUE"""),"")</f>
        <v/>
      </c>
      <c r="AK143" s="82"/>
      <c r="AL143" s="83"/>
      <c r="AM143" s="75" t="str">
        <f ca="1">IFERROR(__xludf.DUMMYFUNCTION("""COMPUTED_VALUE"""),"")</f>
        <v/>
      </c>
      <c r="AN143" s="82"/>
      <c r="AO143" s="83"/>
      <c r="AP143" s="75" t="str">
        <f ca="1">IFERROR(__xludf.DUMMYFUNCTION("""COMPUTED_VALUE"""),"")</f>
        <v/>
      </c>
      <c r="AQ143" s="82"/>
      <c r="AR143" s="83"/>
      <c r="AS143" s="75" t="str">
        <f ca="1">IFERROR(__xludf.DUMMYFUNCTION("""COMPUTED_VALUE"""),"")</f>
        <v/>
      </c>
      <c r="AT143" s="82"/>
      <c r="AU143" s="83"/>
      <c r="AV143" s="75" t="str">
        <f ca="1">IFERROR(__xludf.DUMMYFUNCTION("""COMPUTED_VALUE"""),"")</f>
        <v/>
      </c>
      <c r="AW143" s="82"/>
      <c r="AX143" s="83"/>
      <c r="AY143" s="75" t="str">
        <f ca="1">IFERROR(__xludf.DUMMYFUNCTION("""COMPUTED_VALUE"""),"")</f>
        <v/>
      </c>
      <c r="AZ143" s="82"/>
      <c r="BA143" s="83"/>
      <c r="BB143" s="75" t="str">
        <f ca="1">IFERROR(__xludf.DUMMYFUNCTION("""COMPUTED_VALUE"""),"")</f>
        <v/>
      </c>
      <c r="BC143" s="82"/>
      <c r="BD143" s="83"/>
      <c r="BE143" s="75" t="str">
        <f ca="1">IFERROR(__xludf.DUMMYFUNCTION("""COMPUTED_VALUE"""),"")</f>
        <v/>
      </c>
      <c r="BF143" s="82"/>
      <c r="BG143" s="83"/>
      <c r="BH143" s="75" t="str">
        <f ca="1">IFERROR(__xludf.DUMMYFUNCTION("""COMPUTED_VALUE"""),"")</f>
        <v/>
      </c>
      <c r="BI143" s="46"/>
    </row>
    <row r="144" spans="1:61" ht="22.5" customHeight="1" x14ac:dyDescent="0.25">
      <c r="A144" s="46"/>
      <c r="B144" s="85"/>
      <c r="C144" s="75"/>
      <c r="D144" s="75"/>
      <c r="E144" s="75"/>
      <c r="F144" s="76"/>
      <c r="G144" s="77" t="str">
        <f ca="1">IFERROR(__xludf.DUMMYFUNCTION("""COMPUTED_VALUE"""),"")</f>
        <v/>
      </c>
      <c r="H144" s="78" t="str">
        <f ca="1">IFERROR(__xludf.DUMMYFUNCTION("""COMPUTED_VALUE"""),"")</f>
        <v/>
      </c>
      <c r="I144" s="79" t="str">
        <f ca="1">IFERROR(__xludf.DUMMYFUNCTION("""COMPUTED_VALUE"""),"")</f>
        <v/>
      </c>
      <c r="J144" s="264"/>
      <c r="K144" s="82" t="str">
        <f ca="1">IFERROR(__xludf.DUMMYFUNCTION("""COMPUTED_VALUE"""),"")</f>
        <v/>
      </c>
      <c r="L144" s="81" t="str">
        <f ca="1">IFERROR(__xludf.DUMMYFUNCTION("""COMPUTED_VALUE"""),"")</f>
        <v/>
      </c>
      <c r="M144" s="82"/>
      <c r="N144" s="83"/>
      <c r="O144" s="75" t="str">
        <f ca="1">IFERROR(__xludf.DUMMYFUNCTION("""COMPUTED_VALUE"""),"")</f>
        <v/>
      </c>
      <c r="P144" s="82"/>
      <c r="Q144" s="83"/>
      <c r="R144" s="75" t="str">
        <f ca="1">IFERROR(__xludf.DUMMYFUNCTION("""COMPUTED_VALUE"""),"")</f>
        <v/>
      </c>
      <c r="S144" s="82"/>
      <c r="T144" s="83"/>
      <c r="U144" s="75" t="str">
        <f ca="1">IFERROR(__xludf.DUMMYFUNCTION("""COMPUTED_VALUE"""),"")</f>
        <v/>
      </c>
      <c r="V144" s="82"/>
      <c r="W144" s="83"/>
      <c r="X144" s="75" t="str">
        <f ca="1">IFERROR(__xludf.DUMMYFUNCTION("""COMPUTED_VALUE"""),"")</f>
        <v/>
      </c>
      <c r="Y144" s="82"/>
      <c r="Z144" s="83"/>
      <c r="AA144" s="75" t="str">
        <f ca="1">IFERROR(__xludf.DUMMYFUNCTION("""COMPUTED_VALUE"""),"")</f>
        <v/>
      </c>
      <c r="AB144" s="82"/>
      <c r="AC144" s="83"/>
      <c r="AD144" s="75" t="str">
        <f ca="1">IFERROR(__xludf.DUMMYFUNCTION("""COMPUTED_VALUE"""),"")</f>
        <v/>
      </c>
      <c r="AE144" s="82"/>
      <c r="AF144" s="83"/>
      <c r="AG144" s="75" t="str">
        <f ca="1">IFERROR(__xludf.DUMMYFUNCTION("""COMPUTED_VALUE"""),"")</f>
        <v/>
      </c>
      <c r="AH144" s="82"/>
      <c r="AI144" s="83"/>
      <c r="AJ144" s="75" t="str">
        <f ca="1">IFERROR(__xludf.DUMMYFUNCTION("""COMPUTED_VALUE"""),"")</f>
        <v/>
      </c>
      <c r="AK144" s="82"/>
      <c r="AL144" s="83"/>
      <c r="AM144" s="75" t="str">
        <f ca="1">IFERROR(__xludf.DUMMYFUNCTION("""COMPUTED_VALUE"""),"")</f>
        <v/>
      </c>
      <c r="AN144" s="82"/>
      <c r="AO144" s="83"/>
      <c r="AP144" s="75" t="str">
        <f ca="1">IFERROR(__xludf.DUMMYFUNCTION("""COMPUTED_VALUE"""),"")</f>
        <v/>
      </c>
      <c r="AQ144" s="82"/>
      <c r="AR144" s="83"/>
      <c r="AS144" s="75" t="str">
        <f ca="1">IFERROR(__xludf.DUMMYFUNCTION("""COMPUTED_VALUE"""),"")</f>
        <v/>
      </c>
      <c r="AT144" s="82"/>
      <c r="AU144" s="83"/>
      <c r="AV144" s="75" t="str">
        <f ca="1">IFERROR(__xludf.DUMMYFUNCTION("""COMPUTED_VALUE"""),"")</f>
        <v/>
      </c>
      <c r="AW144" s="82"/>
      <c r="AX144" s="83"/>
      <c r="AY144" s="75" t="str">
        <f ca="1">IFERROR(__xludf.DUMMYFUNCTION("""COMPUTED_VALUE"""),"")</f>
        <v/>
      </c>
      <c r="AZ144" s="82"/>
      <c r="BA144" s="83"/>
      <c r="BB144" s="75" t="str">
        <f ca="1">IFERROR(__xludf.DUMMYFUNCTION("""COMPUTED_VALUE"""),"")</f>
        <v/>
      </c>
      <c r="BC144" s="82"/>
      <c r="BD144" s="83"/>
      <c r="BE144" s="75" t="str">
        <f ca="1">IFERROR(__xludf.DUMMYFUNCTION("""COMPUTED_VALUE"""),"")</f>
        <v/>
      </c>
      <c r="BF144" s="82"/>
      <c r="BG144" s="83"/>
      <c r="BH144" s="75" t="str">
        <f ca="1">IFERROR(__xludf.DUMMYFUNCTION("""COMPUTED_VALUE"""),"")</f>
        <v/>
      </c>
      <c r="BI144" s="46"/>
    </row>
    <row r="145" spans="1:61" ht="22.5" customHeight="1" x14ac:dyDescent="0.25">
      <c r="A145" s="46"/>
      <c r="B145" s="85"/>
      <c r="C145" s="75"/>
      <c r="D145" s="75"/>
      <c r="E145" s="75"/>
      <c r="F145" s="76"/>
      <c r="G145" s="77" t="str">
        <f ca="1">IFERROR(__xludf.DUMMYFUNCTION("""COMPUTED_VALUE"""),"")</f>
        <v/>
      </c>
      <c r="H145" s="78" t="str">
        <f ca="1">IFERROR(__xludf.DUMMYFUNCTION("""COMPUTED_VALUE"""),"")</f>
        <v/>
      </c>
      <c r="I145" s="79" t="str">
        <f ca="1">IFERROR(__xludf.DUMMYFUNCTION("""COMPUTED_VALUE"""),"")</f>
        <v/>
      </c>
      <c r="J145" s="264"/>
      <c r="K145" s="82" t="str">
        <f ca="1">IFERROR(__xludf.DUMMYFUNCTION("""COMPUTED_VALUE"""),"")</f>
        <v/>
      </c>
      <c r="L145" s="81" t="str">
        <f ca="1">IFERROR(__xludf.DUMMYFUNCTION("""COMPUTED_VALUE"""),"")</f>
        <v/>
      </c>
      <c r="M145" s="82"/>
      <c r="N145" s="83"/>
      <c r="O145" s="75" t="str">
        <f ca="1">IFERROR(__xludf.DUMMYFUNCTION("""COMPUTED_VALUE"""),"")</f>
        <v/>
      </c>
      <c r="P145" s="82"/>
      <c r="Q145" s="83"/>
      <c r="R145" s="75" t="str">
        <f ca="1">IFERROR(__xludf.DUMMYFUNCTION("""COMPUTED_VALUE"""),"")</f>
        <v/>
      </c>
      <c r="S145" s="82"/>
      <c r="T145" s="83"/>
      <c r="U145" s="75" t="str">
        <f ca="1">IFERROR(__xludf.DUMMYFUNCTION("""COMPUTED_VALUE"""),"")</f>
        <v/>
      </c>
      <c r="V145" s="82"/>
      <c r="W145" s="83"/>
      <c r="X145" s="75" t="str">
        <f ca="1">IFERROR(__xludf.DUMMYFUNCTION("""COMPUTED_VALUE"""),"")</f>
        <v/>
      </c>
      <c r="Y145" s="82"/>
      <c r="Z145" s="83"/>
      <c r="AA145" s="75" t="str">
        <f ca="1">IFERROR(__xludf.DUMMYFUNCTION("""COMPUTED_VALUE"""),"")</f>
        <v/>
      </c>
      <c r="AB145" s="82"/>
      <c r="AC145" s="83"/>
      <c r="AD145" s="75" t="str">
        <f ca="1">IFERROR(__xludf.DUMMYFUNCTION("""COMPUTED_VALUE"""),"")</f>
        <v/>
      </c>
      <c r="AE145" s="82"/>
      <c r="AF145" s="83"/>
      <c r="AG145" s="75" t="str">
        <f ca="1">IFERROR(__xludf.DUMMYFUNCTION("""COMPUTED_VALUE"""),"")</f>
        <v/>
      </c>
      <c r="AH145" s="82"/>
      <c r="AI145" s="83"/>
      <c r="AJ145" s="75" t="str">
        <f ca="1">IFERROR(__xludf.DUMMYFUNCTION("""COMPUTED_VALUE"""),"")</f>
        <v/>
      </c>
      <c r="AK145" s="82"/>
      <c r="AL145" s="83"/>
      <c r="AM145" s="75" t="str">
        <f ca="1">IFERROR(__xludf.DUMMYFUNCTION("""COMPUTED_VALUE"""),"")</f>
        <v/>
      </c>
      <c r="AN145" s="82"/>
      <c r="AO145" s="83"/>
      <c r="AP145" s="75" t="str">
        <f ca="1">IFERROR(__xludf.DUMMYFUNCTION("""COMPUTED_VALUE"""),"")</f>
        <v/>
      </c>
      <c r="AQ145" s="82"/>
      <c r="AR145" s="83"/>
      <c r="AS145" s="75" t="str">
        <f ca="1">IFERROR(__xludf.DUMMYFUNCTION("""COMPUTED_VALUE"""),"")</f>
        <v/>
      </c>
      <c r="AT145" s="82"/>
      <c r="AU145" s="83"/>
      <c r="AV145" s="75" t="str">
        <f ca="1">IFERROR(__xludf.DUMMYFUNCTION("""COMPUTED_VALUE"""),"")</f>
        <v/>
      </c>
      <c r="AW145" s="82"/>
      <c r="AX145" s="83"/>
      <c r="AY145" s="75" t="str">
        <f ca="1">IFERROR(__xludf.DUMMYFUNCTION("""COMPUTED_VALUE"""),"")</f>
        <v/>
      </c>
      <c r="AZ145" s="82"/>
      <c r="BA145" s="83"/>
      <c r="BB145" s="75" t="str">
        <f ca="1">IFERROR(__xludf.DUMMYFUNCTION("""COMPUTED_VALUE"""),"")</f>
        <v/>
      </c>
      <c r="BC145" s="82"/>
      <c r="BD145" s="83"/>
      <c r="BE145" s="75" t="str">
        <f ca="1">IFERROR(__xludf.DUMMYFUNCTION("""COMPUTED_VALUE"""),"")</f>
        <v/>
      </c>
      <c r="BF145" s="82"/>
      <c r="BG145" s="83"/>
      <c r="BH145" s="75" t="str">
        <f ca="1">IFERROR(__xludf.DUMMYFUNCTION("""COMPUTED_VALUE"""),"")</f>
        <v/>
      </c>
      <c r="BI145" s="46"/>
    </row>
    <row r="146" spans="1:61" ht="22.5" customHeight="1" x14ac:dyDescent="0.25">
      <c r="A146" s="46"/>
      <c r="B146" s="85"/>
      <c r="C146" s="75"/>
      <c r="D146" s="75"/>
      <c r="E146" s="75"/>
      <c r="F146" s="76"/>
      <c r="G146" s="77" t="str">
        <f ca="1">IFERROR(__xludf.DUMMYFUNCTION("""COMPUTED_VALUE"""),"")</f>
        <v/>
      </c>
      <c r="H146" s="78" t="str">
        <f ca="1">IFERROR(__xludf.DUMMYFUNCTION("""COMPUTED_VALUE"""),"")</f>
        <v/>
      </c>
      <c r="I146" s="79" t="str">
        <f ca="1">IFERROR(__xludf.DUMMYFUNCTION("""COMPUTED_VALUE"""),"")</f>
        <v/>
      </c>
      <c r="J146" s="264"/>
      <c r="K146" s="82" t="str">
        <f ca="1">IFERROR(__xludf.DUMMYFUNCTION("""COMPUTED_VALUE"""),"")</f>
        <v/>
      </c>
      <c r="L146" s="81" t="str">
        <f ca="1">IFERROR(__xludf.DUMMYFUNCTION("""COMPUTED_VALUE"""),"")</f>
        <v/>
      </c>
      <c r="M146" s="82"/>
      <c r="N146" s="83"/>
      <c r="O146" s="75" t="str">
        <f ca="1">IFERROR(__xludf.DUMMYFUNCTION("""COMPUTED_VALUE"""),"")</f>
        <v/>
      </c>
      <c r="P146" s="82"/>
      <c r="Q146" s="83"/>
      <c r="R146" s="75" t="str">
        <f ca="1">IFERROR(__xludf.DUMMYFUNCTION("""COMPUTED_VALUE"""),"")</f>
        <v/>
      </c>
      <c r="S146" s="82"/>
      <c r="T146" s="83"/>
      <c r="U146" s="75" t="str">
        <f ca="1">IFERROR(__xludf.DUMMYFUNCTION("""COMPUTED_VALUE"""),"")</f>
        <v/>
      </c>
      <c r="V146" s="82"/>
      <c r="W146" s="83"/>
      <c r="X146" s="75" t="str">
        <f ca="1">IFERROR(__xludf.DUMMYFUNCTION("""COMPUTED_VALUE"""),"")</f>
        <v/>
      </c>
      <c r="Y146" s="82"/>
      <c r="Z146" s="83"/>
      <c r="AA146" s="75" t="str">
        <f ca="1">IFERROR(__xludf.DUMMYFUNCTION("""COMPUTED_VALUE"""),"")</f>
        <v/>
      </c>
      <c r="AB146" s="82"/>
      <c r="AC146" s="83"/>
      <c r="AD146" s="75" t="str">
        <f ca="1">IFERROR(__xludf.DUMMYFUNCTION("""COMPUTED_VALUE"""),"")</f>
        <v/>
      </c>
      <c r="AE146" s="82"/>
      <c r="AF146" s="83"/>
      <c r="AG146" s="75" t="str">
        <f ca="1">IFERROR(__xludf.DUMMYFUNCTION("""COMPUTED_VALUE"""),"")</f>
        <v/>
      </c>
      <c r="AH146" s="82"/>
      <c r="AI146" s="83"/>
      <c r="AJ146" s="75" t="str">
        <f ca="1">IFERROR(__xludf.DUMMYFUNCTION("""COMPUTED_VALUE"""),"")</f>
        <v/>
      </c>
      <c r="AK146" s="82"/>
      <c r="AL146" s="83"/>
      <c r="AM146" s="75" t="str">
        <f ca="1">IFERROR(__xludf.DUMMYFUNCTION("""COMPUTED_VALUE"""),"")</f>
        <v/>
      </c>
      <c r="AN146" s="82"/>
      <c r="AO146" s="83"/>
      <c r="AP146" s="75" t="str">
        <f ca="1">IFERROR(__xludf.DUMMYFUNCTION("""COMPUTED_VALUE"""),"")</f>
        <v/>
      </c>
      <c r="AQ146" s="82"/>
      <c r="AR146" s="83"/>
      <c r="AS146" s="75" t="str">
        <f ca="1">IFERROR(__xludf.DUMMYFUNCTION("""COMPUTED_VALUE"""),"")</f>
        <v/>
      </c>
      <c r="AT146" s="82"/>
      <c r="AU146" s="83"/>
      <c r="AV146" s="75" t="str">
        <f ca="1">IFERROR(__xludf.DUMMYFUNCTION("""COMPUTED_VALUE"""),"")</f>
        <v/>
      </c>
      <c r="AW146" s="82"/>
      <c r="AX146" s="83"/>
      <c r="AY146" s="75" t="str">
        <f ca="1">IFERROR(__xludf.DUMMYFUNCTION("""COMPUTED_VALUE"""),"")</f>
        <v/>
      </c>
      <c r="AZ146" s="82"/>
      <c r="BA146" s="83"/>
      <c r="BB146" s="75" t="str">
        <f ca="1">IFERROR(__xludf.DUMMYFUNCTION("""COMPUTED_VALUE"""),"")</f>
        <v/>
      </c>
      <c r="BC146" s="82"/>
      <c r="BD146" s="83"/>
      <c r="BE146" s="75" t="str">
        <f ca="1">IFERROR(__xludf.DUMMYFUNCTION("""COMPUTED_VALUE"""),"")</f>
        <v/>
      </c>
      <c r="BF146" s="82"/>
      <c r="BG146" s="83"/>
      <c r="BH146" s="75" t="str">
        <f ca="1">IFERROR(__xludf.DUMMYFUNCTION("""COMPUTED_VALUE"""),"")</f>
        <v/>
      </c>
      <c r="BI146" s="46"/>
    </row>
    <row r="147" spans="1:61" ht="22.5" customHeight="1" x14ac:dyDescent="0.25">
      <c r="A147" s="46"/>
      <c r="B147" s="85"/>
      <c r="C147" s="75"/>
      <c r="D147" s="75"/>
      <c r="E147" s="75"/>
      <c r="F147" s="76"/>
      <c r="G147" s="77" t="str">
        <f ca="1">IFERROR(__xludf.DUMMYFUNCTION("""COMPUTED_VALUE"""),"")</f>
        <v/>
      </c>
      <c r="H147" s="78" t="str">
        <f ca="1">IFERROR(__xludf.DUMMYFUNCTION("""COMPUTED_VALUE"""),"")</f>
        <v/>
      </c>
      <c r="I147" s="79" t="str">
        <f ca="1">IFERROR(__xludf.DUMMYFUNCTION("""COMPUTED_VALUE"""),"")</f>
        <v/>
      </c>
      <c r="J147" s="264"/>
      <c r="K147" s="82" t="str">
        <f ca="1">IFERROR(__xludf.DUMMYFUNCTION("""COMPUTED_VALUE"""),"")</f>
        <v/>
      </c>
      <c r="L147" s="81" t="str">
        <f ca="1">IFERROR(__xludf.DUMMYFUNCTION("""COMPUTED_VALUE"""),"")</f>
        <v/>
      </c>
      <c r="M147" s="82"/>
      <c r="N147" s="83"/>
      <c r="O147" s="75" t="str">
        <f ca="1">IFERROR(__xludf.DUMMYFUNCTION("""COMPUTED_VALUE"""),"")</f>
        <v/>
      </c>
      <c r="P147" s="82"/>
      <c r="Q147" s="83"/>
      <c r="R147" s="75" t="str">
        <f ca="1">IFERROR(__xludf.DUMMYFUNCTION("""COMPUTED_VALUE"""),"")</f>
        <v/>
      </c>
      <c r="S147" s="82"/>
      <c r="T147" s="83"/>
      <c r="U147" s="75" t="str">
        <f ca="1">IFERROR(__xludf.DUMMYFUNCTION("""COMPUTED_VALUE"""),"")</f>
        <v/>
      </c>
      <c r="V147" s="82"/>
      <c r="W147" s="83"/>
      <c r="X147" s="75" t="str">
        <f ca="1">IFERROR(__xludf.DUMMYFUNCTION("""COMPUTED_VALUE"""),"")</f>
        <v/>
      </c>
      <c r="Y147" s="82"/>
      <c r="Z147" s="83"/>
      <c r="AA147" s="75" t="str">
        <f ca="1">IFERROR(__xludf.DUMMYFUNCTION("""COMPUTED_VALUE"""),"")</f>
        <v/>
      </c>
      <c r="AB147" s="82"/>
      <c r="AC147" s="83"/>
      <c r="AD147" s="75" t="str">
        <f ca="1">IFERROR(__xludf.DUMMYFUNCTION("""COMPUTED_VALUE"""),"")</f>
        <v/>
      </c>
      <c r="AE147" s="82"/>
      <c r="AF147" s="83"/>
      <c r="AG147" s="75" t="str">
        <f ca="1">IFERROR(__xludf.DUMMYFUNCTION("""COMPUTED_VALUE"""),"")</f>
        <v/>
      </c>
      <c r="AH147" s="82"/>
      <c r="AI147" s="83"/>
      <c r="AJ147" s="75" t="str">
        <f ca="1">IFERROR(__xludf.DUMMYFUNCTION("""COMPUTED_VALUE"""),"")</f>
        <v/>
      </c>
      <c r="AK147" s="82"/>
      <c r="AL147" s="83"/>
      <c r="AM147" s="75" t="str">
        <f ca="1">IFERROR(__xludf.DUMMYFUNCTION("""COMPUTED_VALUE"""),"")</f>
        <v/>
      </c>
      <c r="AN147" s="82"/>
      <c r="AO147" s="83"/>
      <c r="AP147" s="75" t="str">
        <f ca="1">IFERROR(__xludf.DUMMYFUNCTION("""COMPUTED_VALUE"""),"")</f>
        <v/>
      </c>
      <c r="AQ147" s="82"/>
      <c r="AR147" s="83"/>
      <c r="AS147" s="75" t="str">
        <f ca="1">IFERROR(__xludf.DUMMYFUNCTION("""COMPUTED_VALUE"""),"")</f>
        <v/>
      </c>
      <c r="AT147" s="82"/>
      <c r="AU147" s="83"/>
      <c r="AV147" s="75" t="str">
        <f ca="1">IFERROR(__xludf.DUMMYFUNCTION("""COMPUTED_VALUE"""),"")</f>
        <v/>
      </c>
      <c r="AW147" s="82"/>
      <c r="AX147" s="83"/>
      <c r="AY147" s="75" t="str">
        <f ca="1">IFERROR(__xludf.DUMMYFUNCTION("""COMPUTED_VALUE"""),"")</f>
        <v/>
      </c>
      <c r="AZ147" s="82"/>
      <c r="BA147" s="83"/>
      <c r="BB147" s="75" t="str">
        <f ca="1">IFERROR(__xludf.DUMMYFUNCTION("""COMPUTED_VALUE"""),"")</f>
        <v/>
      </c>
      <c r="BC147" s="82"/>
      <c r="BD147" s="83"/>
      <c r="BE147" s="75" t="str">
        <f ca="1">IFERROR(__xludf.DUMMYFUNCTION("""COMPUTED_VALUE"""),"")</f>
        <v/>
      </c>
      <c r="BF147" s="82"/>
      <c r="BG147" s="83"/>
      <c r="BH147" s="75" t="str">
        <f ca="1">IFERROR(__xludf.DUMMYFUNCTION("""COMPUTED_VALUE"""),"")</f>
        <v/>
      </c>
      <c r="BI147" s="46"/>
    </row>
    <row r="148" spans="1:61" ht="22.5" customHeight="1" x14ac:dyDescent="0.25">
      <c r="A148" s="46"/>
      <c r="B148" s="85"/>
      <c r="C148" s="75"/>
      <c r="D148" s="75"/>
      <c r="E148" s="75"/>
      <c r="F148" s="76"/>
      <c r="G148" s="77" t="str">
        <f ca="1">IFERROR(__xludf.DUMMYFUNCTION("""COMPUTED_VALUE"""),"")</f>
        <v/>
      </c>
      <c r="H148" s="78" t="str">
        <f ca="1">IFERROR(__xludf.DUMMYFUNCTION("""COMPUTED_VALUE"""),"")</f>
        <v/>
      </c>
      <c r="I148" s="79" t="str">
        <f ca="1">IFERROR(__xludf.DUMMYFUNCTION("""COMPUTED_VALUE"""),"")</f>
        <v/>
      </c>
      <c r="J148" s="264"/>
      <c r="K148" s="82" t="str">
        <f ca="1">IFERROR(__xludf.DUMMYFUNCTION("""COMPUTED_VALUE"""),"")</f>
        <v/>
      </c>
      <c r="L148" s="81" t="str">
        <f ca="1">IFERROR(__xludf.DUMMYFUNCTION("""COMPUTED_VALUE"""),"")</f>
        <v/>
      </c>
      <c r="M148" s="82"/>
      <c r="N148" s="83"/>
      <c r="O148" s="75" t="str">
        <f ca="1">IFERROR(__xludf.DUMMYFUNCTION("""COMPUTED_VALUE"""),"")</f>
        <v/>
      </c>
      <c r="P148" s="82"/>
      <c r="Q148" s="83"/>
      <c r="R148" s="75" t="str">
        <f ca="1">IFERROR(__xludf.DUMMYFUNCTION("""COMPUTED_VALUE"""),"")</f>
        <v/>
      </c>
      <c r="S148" s="82"/>
      <c r="T148" s="83"/>
      <c r="U148" s="75" t="str">
        <f ca="1">IFERROR(__xludf.DUMMYFUNCTION("""COMPUTED_VALUE"""),"")</f>
        <v/>
      </c>
      <c r="V148" s="82"/>
      <c r="W148" s="83"/>
      <c r="X148" s="75" t="str">
        <f ca="1">IFERROR(__xludf.DUMMYFUNCTION("""COMPUTED_VALUE"""),"")</f>
        <v/>
      </c>
      <c r="Y148" s="82"/>
      <c r="Z148" s="83"/>
      <c r="AA148" s="75" t="str">
        <f ca="1">IFERROR(__xludf.DUMMYFUNCTION("""COMPUTED_VALUE"""),"")</f>
        <v/>
      </c>
      <c r="AB148" s="82"/>
      <c r="AC148" s="83"/>
      <c r="AD148" s="75" t="str">
        <f ca="1">IFERROR(__xludf.DUMMYFUNCTION("""COMPUTED_VALUE"""),"")</f>
        <v/>
      </c>
      <c r="AE148" s="82"/>
      <c r="AF148" s="83"/>
      <c r="AG148" s="75" t="str">
        <f ca="1">IFERROR(__xludf.DUMMYFUNCTION("""COMPUTED_VALUE"""),"")</f>
        <v/>
      </c>
      <c r="AH148" s="82"/>
      <c r="AI148" s="83"/>
      <c r="AJ148" s="75" t="str">
        <f ca="1">IFERROR(__xludf.DUMMYFUNCTION("""COMPUTED_VALUE"""),"")</f>
        <v/>
      </c>
      <c r="AK148" s="82"/>
      <c r="AL148" s="83"/>
      <c r="AM148" s="75" t="str">
        <f ca="1">IFERROR(__xludf.DUMMYFUNCTION("""COMPUTED_VALUE"""),"")</f>
        <v/>
      </c>
      <c r="AN148" s="82"/>
      <c r="AO148" s="83"/>
      <c r="AP148" s="75" t="str">
        <f ca="1">IFERROR(__xludf.DUMMYFUNCTION("""COMPUTED_VALUE"""),"")</f>
        <v/>
      </c>
      <c r="AQ148" s="82"/>
      <c r="AR148" s="83"/>
      <c r="AS148" s="75" t="str">
        <f ca="1">IFERROR(__xludf.DUMMYFUNCTION("""COMPUTED_VALUE"""),"")</f>
        <v/>
      </c>
      <c r="AT148" s="82"/>
      <c r="AU148" s="83"/>
      <c r="AV148" s="75" t="str">
        <f ca="1">IFERROR(__xludf.DUMMYFUNCTION("""COMPUTED_VALUE"""),"")</f>
        <v/>
      </c>
      <c r="AW148" s="82"/>
      <c r="AX148" s="83"/>
      <c r="AY148" s="75" t="str">
        <f ca="1">IFERROR(__xludf.DUMMYFUNCTION("""COMPUTED_VALUE"""),"")</f>
        <v/>
      </c>
      <c r="AZ148" s="82"/>
      <c r="BA148" s="83"/>
      <c r="BB148" s="75" t="str">
        <f ca="1">IFERROR(__xludf.DUMMYFUNCTION("""COMPUTED_VALUE"""),"")</f>
        <v/>
      </c>
      <c r="BC148" s="82"/>
      <c r="BD148" s="83"/>
      <c r="BE148" s="75" t="str">
        <f ca="1">IFERROR(__xludf.DUMMYFUNCTION("""COMPUTED_VALUE"""),"")</f>
        <v/>
      </c>
      <c r="BF148" s="82"/>
      <c r="BG148" s="83"/>
      <c r="BH148" s="75" t="str">
        <f ca="1">IFERROR(__xludf.DUMMYFUNCTION("""COMPUTED_VALUE"""),"")</f>
        <v/>
      </c>
      <c r="BI148" s="46"/>
    </row>
    <row r="149" spans="1:61" ht="22.5" customHeight="1" x14ac:dyDescent="0.25">
      <c r="A149" s="46"/>
      <c r="B149" s="85"/>
      <c r="C149" s="75"/>
      <c r="D149" s="75"/>
      <c r="E149" s="75"/>
      <c r="F149" s="76"/>
      <c r="G149" s="77" t="str">
        <f ca="1">IFERROR(__xludf.DUMMYFUNCTION("""COMPUTED_VALUE"""),"")</f>
        <v/>
      </c>
      <c r="H149" s="78" t="str">
        <f ca="1">IFERROR(__xludf.DUMMYFUNCTION("""COMPUTED_VALUE"""),"")</f>
        <v/>
      </c>
      <c r="I149" s="79" t="str">
        <f ca="1">IFERROR(__xludf.DUMMYFUNCTION("""COMPUTED_VALUE"""),"")</f>
        <v/>
      </c>
      <c r="J149" s="264"/>
      <c r="K149" s="82" t="str">
        <f ca="1">IFERROR(__xludf.DUMMYFUNCTION("""COMPUTED_VALUE"""),"")</f>
        <v/>
      </c>
      <c r="L149" s="81" t="str">
        <f ca="1">IFERROR(__xludf.DUMMYFUNCTION("""COMPUTED_VALUE"""),"")</f>
        <v/>
      </c>
      <c r="M149" s="82"/>
      <c r="N149" s="83"/>
      <c r="O149" s="75" t="str">
        <f ca="1">IFERROR(__xludf.DUMMYFUNCTION("""COMPUTED_VALUE"""),"")</f>
        <v/>
      </c>
      <c r="P149" s="82"/>
      <c r="Q149" s="83"/>
      <c r="R149" s="75" t="str">
        <f ca="1">IFERROR(__xludf.DUMMYFUNCTION("""COMPUTED_VALUE"""),"")</f>
        <v/>
      </c>
      <c r="S149" s="82"/>
      <c r="T149" s="83"/>
      <c r="U149" s="75" t="str">
        <f ca="1">IFERROR(__xludf.DUMMYFUNCTION("""COMPUTED_VALUE"""),"")</f>
        <v/>
      </c>
      <c r="V149" s="82"/>
      <c r="W149" s="83"/>
      <c r="X149" s="75" t="str">
        <f ca="1">IFERROR(__xludf.DUMMYFUNCTION("""COMPUTED_VALUE"""),"")</f>
        <v/>
      </c>
      <c r="Y149" s="82"/>
      <c r="Z149" s="83"/>
      <c r="AA149" s="75" t="str">
        <f ca="1">IFERROR(__xludf.DUMMYFUNCTION("""COMPUTED_VALUE"""),"")</f>
        <v/>
      </c>
      <c r="AB149" s="82"/>
      <c r="AC149" s="83"/>
      <c r="AD149" s="75" t="str">
        <f ca="1">IFERROR(__xludf.DUMMYFUNCTION("""COMPUTED_VALUE"""),"")</f>
        <v/>
      </c>
      <c r="AE149" s="82"/>
      <c r="AF149" s="83"/>
      <c r="AG149" s="75" t="str">
        <f ca="1">IFERROR(__xludf.DUMMYFUNCTION("""COMPUTED_VALUE"""),"")</f>
        <v/>
      </c>
      <c r="AH149" s="82"/>
      <c r="AI149" s="83"/>
      <c r="AJ149" s="75" t="str">
        <f ca="1">IFERROR(__xludf.DUMMYFUNCTION("""COMPUTED_VALUE"""),"")</f>
        <v/>
      </c>
      <c r="AK149" s="82"/>
      <c r="AL149" s="83"/>
      <c r="AM149" s="75" t="str">
        <f ca="1">IFERROR(__xludf.DUMMYFUNCTION("""COMPUTED_VALUE"""),"")</f>
        <v/>
      </c>
      <c r="AN149" s="82"/>
      <c r="AO149" s="83"/>
      <c r="AP149" s="75" t="str">
        <f ca="1">IFERROR(__xludf.DUMMYFUNCTION("""COMPUTED_VALUE"""),"")</f>
        <v/>
      </c>
      <c r="AQ149" s="82"/>
      <c r="AR149" s="83"/>
      <c r="AS149" s="75" t="str">
        <f ca="1">IFERROR(__xludf.DUMMYFUNCTION("""COMPUTED_VALUE"""),"")</f>
        <v/>
      </c>
      <c r="AT149" s="82"/>
      <c r="AU149" s="83"/>
      <c r="AV149" s="75" t="str">
        <f ca="1">IFERROR(__xludf.DUMMYFUNCTION("""COMPUTED_VALUE"""),"")</f>
        <v/>
      </c>
      <c r="AW149" s="82"/>
      <c r="AX149" s="83"/>
      <c r="AY149" s="75" t="str">
        <f ca="1">IFERROR(__xludf.DUMMYFUNCTION("""COMPUTED_VALUE"""),"")</f>
        <v/>
      </c>
      <c r="AZ149" s="82"/>
      <c r="BA149" s="83"/>
      <c r="BB149" s="75" t="str">
        <f ca="1">IFERROR(__xludf.DUMMYFUNCTION("""COMPUTED_VALUE"""),"")</f>
        <v/>
      </c>
      <c r="BC149" s="82"/>
      <c r="BD149" s="83"/>
      <c r="BE149" s="75" t="str">
        <f ca="1">IFERROR(__xludf.DUMMYFUNCTION("""COMPUTED_VALUE"""),"")</f>
        <v/>
      </c>
      <c r="BF149" s="82"/>
      <c r="BG149" s="83"/>
      <c r="BH149" s="75" t="str">
        <f ca="1">IFERROR(__xludf.DUMMYFUNCTION("""COMPUTED_VALUE"""),"")</f>
        <v/>
      </c>
      <c r="BI149" s="46"/>
    </row>
    <row r="150" spans="1:61" ht="22.5" customHeight="1" x14ac:dyDescent="0.25">
      <c r="A150" s="46"/>
      <c r="B150" s="85"/>
      <c r="C150" s="75"/>
      <c r="D150" s="75"/>
      <c r="E150" s="75"/>
      <c r="F150" s="76"/>
      <c r="G150" s="77" t="str">
        <f ca="1">IFERROR(__xludf.DUMMYFUNCTION("""COMPUTED_VALUE"""),"")</f>
        <v/>
      </c>
      <c r="H150" s="78" t="str">
        <f ca="1">IFERROR(__xludf.DUMMYFUNCTION("""COMPUTED_VALUE"""),"")</f>
        <v/>
      </c>
      <c r="I150" s="79" t="str">
        <f ca="1">IFERROR(__xludf.DUMMYFUNCTION("""COMPUTED_VALUE"""),"")</f>
        <v/>
      </c>
      <c r="J150" s="264"/>
      <c r="K150" s="82" t="str">
        <f ca="1">IFERROR(__xludf.DUMMYFUNCTION("""COMPUTED_VALUE"""),"")</f>
        <v/>
      </c>
      <c r="L150" s="81" t="str">
        <f ca="1">IFERROR(__xludf.DUMMYFUNCTION("""COMPUTED_VALUE"""),"")</f>
        <v/>
      </c>
      <c r="M150" s="82"/>
      <c r="N150" s="83"/>
      <c r="O150" s="75" t="str">
        <f ca="1">IFERROR(__xludf.DUMMYFUNCTION("""COMPUTED_VALUE"""),"")</f>
        <v/>
      </c>
      <c r="P150" s="82"/>
      <c r="Q150" s="83"/>
      <c r="R150" s="75" t="str">
        <f ca="1">IFERROR(__xludf.DUMMYFUNCTION("""COMPUTED_VALUE"""),"")</f>
        <v/>
      </c>
      <c r="S150" s="82"/>
      <c r="T150" s="83"/>
      <c r="U150" s="75" t="str">
        <f ca="1">IFERROR(__xludf.DUMMYFUNCTION("""COMPUTED_VALUE"""),"")</f>
        <v/>
      </c>
      <c r="V150" s="82"/>
      <c r="W150" s="83"/>
      <c r="X150" s="75" t="str">
        <f ca="1">IFERROR(__xludf.DUMMYFUNCTION("""COMPUTED_VALUE"""),"")</f>
        <v/>
      </c>
      <c r="Y150" s="82"/>
      <c r="Z150" s="83"/>
      <c r="AA150" s="75" t="str">
        <f ca="1">IFERROR(__xludf.DUMMYFUNCTION("""COMPUTED_VALUE"""),"")</f>
        <v/>
      </c>
      <c r="AB150" s="82"/>
      <c r="AC150" s="83"/>
      <c r="AD150" s="75" t="str">
        <f ca="1">IFERROR(__xludf.DUMMYFUNCTION("""COMPUTED_VALUE"""),"")</f>
        <v/>
      </c>
      <c r="AE150" s="82"/>
      <c r="AF150" s="83"/>
      <c r="AG150" s="75" t="str">
        <f ca="1">IFERROR(__xludf.DUMMYFUNCTION("""COMPUTED_VALUE"""),"")</f>
        <v/>
      </c>
      <c r="AH150" s="82"/>
      <c r="AI150" s="83"/>
      <c r="AJ150" s="75" t="str">
        <f ca="1">IFERROR(__xludf.DUMMYFUNCTION("""COMPUTED_VALUE"""),"")</f>
        <v/>
      </c>
      <c r="AK150" s="82"/>
      <c r="AL150" s="83"/>
      <c r="AM150" s="75" t="str">
        <f ca="1">IFERROR(__xludf.DUMMYFUNCTION("""COMPUTED_VALUE"""),"")</f>
        <v/>
      </c>
      <c r="AN150" s="82"/>
      <c r="AO150" s="83"/>
      <c r="AP150" s="75" t="str">
        <f ca="1">IFERROR(__xludf.DUMMYFUNCTION("""COMPUTED_VALUE"""),"")</f>
        <v/>
      </c>
      <c r="AQ150" s="82"/>
      <c r="AR150" s="83"/>
      <c r="AS150" s="75" t="str">
        <f ca="1">IFERROR(__xludf.DUMMYFUNCTION("""COMPUTED_VALUE"""),"")</f>
        <v/>
      </c>
      <c r="AT150" s="82"/>
      <c r="AU150" s="83"/>
      <c r="AV150" s="75" t="str">
        <f ca="1">IFERROR(__xludf.DUMMYFUNCTION("""COMPUTED_VALUE"""),"")</f>
        <v/>
      </c>
      <c r="AW150" s="82"/>
      <c r="AX150" s="83"/>
      <c r="AY150" s="75" t="str">
        <f ca="1">IFERROR(__xludf.DUMMYFUNCTION("""COMPUTED_VALUE"""),"")</f>
        <v/>
      </c>
      <c r="AZ150" s="82"/>
      <c r="BA150" s="83"/>
      <c r="BB150" s="75" t="str">
        <f ca="1">IFERROR(__xludf.DUMMYFUNCTION("""COMPUTED_VALUE"""),"")</f>
        <v/>
      </c>
      <c r="BC150" s="82"/>
      <c r="BD150" s="83"/>
      <c r="BE150" s="75" t="str">
        <f ca="1">IFERROR(__xludf.DUMMYFUNCTION("""COMPUTED_VALUE"""),"")</f>
        <v/>
      </c>
      <c r="BF150" s="82"/>
      <c r="BG150" s="83"/>
      <c r="BH150" s="75" t="str">
        <f ca="1">IFERROR(__xludf.DUMMYFUNCTION("""COMPUTED_VALUE"""),"")</f>
        <v/>
      </c>
      <c r="BI150" s="46"/>
    </row>
    <row r="151" spans="1:61" ht="22.5" customHeight="1" x14ac:dyDescent="0.25">
      <c r="A151" s="46"/>
      <c r="B151" s="85"/>
      <c r="C151" s="75"/>
      <c r="D151" s="75"/>
      <c r="E151" s="75"/>
      <c r="F151" s="76"/>
      <c r="G151" s="77" t="str">
        <f ca="1">IFERROR(__xludf.DUMMYFUNCTION("""COMPUTED_VALUE"""),"")</f>
        <v/>
      </c>
      <c r="H151" s="78" t="str">
        <f ca="1">IFERROR(__xludf.DUMMYFUNCTION("""COMPUTED_VALUE"""),"")</f>
        <v/>
      </c>
      <c r="I151" s="79" t="str">
        <f ca="1">IFERROR(__xludf.DUMMYFUNCTION("""COMPUTED_VALUE"""),"")</f>
        <v/>
      </c>
      <c r="J151" s="264"/>
      <c r="K151" s="82" t="str">
        <f ca="1">IFERROR(__xludf.DUMMYFUNCTION("""COMPUTED_VALUE"""),"")</f>
        <v/>
      </c>
      <c r="L151" s="81" t="str">
        <f ca="1">IFERROR(__xludf.DUMMYFUNCTION("""COMPUTED_VALUE"""),"")</f>
        <v/>
      </c>
      <c r="M151" s="82"/>
      <c r="N151" s="83"/>
      <c r="O151" s="75" t="str">
        <f ca="1">IFERROR(__xludf.DUMMYFUNCTION("""COMPUTED_VALUE"""),"")</f>
        <v/>
      </c>
      <c r="P151" s="82"/>
      <c r="Q151" s="83"/>
      <c r="R151" s="75" t="str">
        <f ca="1">IFERROR(__xludf.DUMMYFUNCTION("""COMPUTED_VALUE"""),"")</f>
        <v/>
      </c>
      <c r="S151" s="82"/>
      <c r="T151" s="83"/>
      <c r="U151" s="75" t="str">
        <f ca="1">IFERROR(__xludf.DUMMYFUNCTION("""COMPUTED_VALUE"""),"")</f>
        <v/>
      </c>
      <c r="V151" s="82"/>
      <c r="W151" s="83"/>
      <c r="X151" s="75" t="str">
        <f ca="1">IFERROR(__xludf.DUMMYFUNCTION("""COMPUTED_VALUE"""),"")</f>
        <v/>
      </c>
      <c r="Y151" s="82"/>
      <c r="Z151" s="83"/>
      <c r="AA151" s="75" t="str">
        <f ca="1">IFERROR(__xludf.DUMMYFUNCTION("""COMPUTED_VALUE"""),"")</f>
        <v/>
      </c>
      <c r="AB151" s="82"/>
      <c r="AC151" s="83"/>
      <c r="AD151" s="75" t="str">
        <f ca="1">IFERROR(__xludf.DUMMYFUNCTION("""COMPUTED_VALUE"""),"")</f>
        <v/>
      </c>
      <c r="AE151" s="82"/>
      <c r="AF151" s="83"/>
      <c r="AG151" s="75" t="str">
        <f ca="1">IFERROR(__xludf.DUMMYFUNCTION("""COMPUTED_VALUE"""),"")</f>
        <v/>
      </c>
      <c r="AH151" s="82"/>
      <c r="AI151" s="83"/>
      <c r="AJ151" s="75" t="str">
        <f ca="1">IFERROR(__xludf.DUMMYFUNCTION("""COMPUTED_VALUE"""),"")</f>
        <v/>
      </c>
      <c r="AK151" s="82"/>
      <c r="AL151" s="83"/>
      <c r="AM151" s="75" t="str">
        <f ca="1">IFERROR(__xludf.DUMMYFUNCTION("""COMPUTED_VALUE"""),"")</f>
        <v/>
      </c>
      <c r="AN151" s="82"/>
      <c r="AO151" s="83"/>
      <c r="AP151" s="75" t="str">
        <f ca="1">IFERROR(__xludf.DUMMYFUNCTION("""COMPUTED_VALUE"""),"")</f>
        <v/>
      </c>
      <c r="AQ151" s="82"/>
      <c r="AR151" s="83"/>
      <c r="AS151" s="75" t="str">
        <f ca="1">IFERROR(__xludf.DUMMYFUNCTION("""COMPUTED_VALUE"""),"")</f>
        <v/>
      </c>
      <c r="AT151" s="82"/>
      <c r="AU151" s="83"/>
      <c r="AV151" s="75" t="str">
        <f ca="1">IFERROR(__xludf.DUMMYFUNCTION("""COMPUTED_VALUE"""),"")</f>
        <v/>
      </c>
      <c r="AW151" s="82"/>
      <c r="AX151" s="83"/>
      <c r="AY151" s="75" t="str">
        <f ca="1">IFERROR(__xludf.DUMMYFUNCTION("""COMPUTED_VALUE"""),"")</f>
        <v/>
      </c>
      <c r="AZ151" s="82"/>
      <c r="BA151" s="83"/>
      <c r="BB151" s="75" t="str">
        <f ca="1">IFERROR(__xludf.DUMMYFUNCTION("""COMPUTED_VALUE"""),"")</f>
        <v/>
      </c>
      <c r="BC151" s="82"/>
      <c r="BD151" s="83"/>
      <c r="BE151" s="75" t="str">
        <f ca="1">IFERROR(__xludf.DUMMYFUNCTION("""COMPUTED_VALUE"""),"")</f>
        <v/>
      </c>
      <c r="BF151" s="82"/>
      <c r="BG151" s="83"/>
      <c r="BH151" s="75" t="str">
        <f ca="1">IFERROR(__xludf.DUMMYFUNCTION("""COMPUTED_VALUE"""),"")</f>
        <v/>
      </c>
      <c r="BI151" s="46"/>
    </row>
    <row r="152" spans="1:61" ht="22.5" customHeight="1" x14ac:dyDescent="0.25">
      <c r="A152" s="46"/>
      <c r="B152" s="85"/>
      <c r="C152" s="75"/>
      <c r="D152" s="75"/>
      <c r="E152" s="75"/>
      <c r="F152" s="76"/>
      <c r="G152" s="77" t="str">
        <f ca="1">IFERROR(__xludf.DUMMYFUNCTION("""COMPUTED_VALUE"""),"")</f>
        <v/>
      </c>
      <c r="H152" s="78" t="str">
        <f ca="1">IFERROR(__xludf.DUMMYFUNCTION("""COMPUTED_VALUE"""),"")</f>
        <v/>
      </c>
      <c r="I152" s="79" t="str">
        <f ca="1">IFERROR(__xludf.DUMMYFUNCTION("""COMPUTED_VALUE"""),"")</f>
        <v/>
      </c>
      <c r="J152" s="264"/>
      <c r="K152" s="82" t="str">
        <f ca="1">IFERROR(__xludf.DUMMYFUNCTION("""COMPUTED_VALUE"""),"")</f>
        <v/>
      </c>
      <c r="L152" s="81" t="str">
        <f ca="1">IFERROR(__xludf.DUMMYFUNCTION("""COMPUTED_VALUE"""),"")</f>
        <v/>
      </c>
      <c r="M152" s="82"/>
      <c r="N152" s="83"/>
      <c r="O152" s="75" t="str">
        <f ca="1">IFERROR(__xludf.DUMMYFUNCTION("""COMPUTED_VALUE"""),"")</f>
        <v/>
      </c>
      <c r="P152" s="82"/>
      <c r="Q152" s="83"/>
      <c r="R152" s="75" t="str">
        <f ca="1">IFERROR(__xludf.DUMMYFUNCTION("""COMPUTED_VALUE"""),"")</f>
        <v/>
      </c>
      <c r="S152" s="82"/>
      <c r="T152" s="83"/>
      <c r="U152" s="75" t="str">
        <f ca="1">IFERROR(__xludf.DUMMYFUNCTION("""COMPUTED_VALUE"""),"")</f>
        <v/>
      </c>
      <c r="V152" s="82"/>
      <c r="W152" s="83"/>
      <c r="X152" s="75" t="str">
        <f ca="1">IFERROR(__xludf.DUMMYFUNCTION("""COMPUTED_VALUE"""),"")</f>
        <v/>
      </c>
      <c r="Y152" s="82"/>
      <c r="Z152" s="83"/>
      <c r="AA152" s="75" t="str">
        <f ca="1">IFERROR(__xludf.DUMMYFUNCTION("""COMPUTED_VALUE"""),"")</f>
        <v/>
      </c>
      <c r="AB152" s="82"/>
      <c r="AC152" s="83"/>
      <c r="AD152" s="75" t="str">
        <f ca="1">IFERROR(__xludf.DUMMYFUNCTION("""COMPUTED_VALUE"""),"")</f>
        <v/>
      </c>
      <c r="AE152" s="82"/>
      <c r="AF152" s="83"/>
      <c r="AG152" s="75" t="str">
        <f ca="1">IFERROR(__xludf.DUMMYFUNCTION("""COMPUTED_VALUE"""),"")</f>
        <v/>
      </c>
      <c r="AH152" s="82"/>
      <c r="AI152" s="83"/>
      <c r="AJ152" s="75" t="str">
        <f ca="1">IFERROR(__xludf.DUMMYFUNCTION("""COMPUTED_VALUE"""),"")</f>
        <v/>
      </c>
      <c r="AK152" s="82"/>
      <c r="AL152" s="83"/>
      <c r="AM152" s="75" t="str">
        <f ca="1">IFERROR(__xludf.DUMMYFUNCTION("""COMPUTED_VALUE"""),"")</f>
        <v/>
      </c>
      <c r="AN152" s="82"/>
      <c r="AO152" s="83"/>
      <c r="AP152" s="75" t="str">
        <f ca="1">IFERROR(__xludf.DUMMYFUNCTION("""COMPUTED_VALUE"""),"")</f>
        <v/>
      </c>
      <c r="AQ152" s="82"/>
      <c r="AR152" s="83"/>
      <c r="AS152" s="75" t="str">
        <f ca="1">IFERROR(__xludf.DUMMYFUNCTION("""COMPUTED_VALUE"""),"")</f>
        <v/>
      </c>
      <c r="AT152" s="82"/>
      <c r="AU152" s="83"/>
      <c r="AV152" s="75" t="str">
        <f ca="1">IFERROR(__xludf.DUMMYFUNCTION("""COMPUTED_VALUE"""),"")</f>
        <v/>
      </c>
      <c r="AW152" s="82"/>
      <c r="AX152" s="83"/>
      <c r="AY152" s="75" t="str">
        <f ca="1">IFERROR(__xludf.DUMMYFUNCTION("""COMPUTED_VALUE"""),"")</f>
        <v/>
      </c>
      <c r="AZ152" s="82"/>
      <c r="BA152" s="83"/>
      <c r="BB152" s="75" t="str">
        <f ca="1">IFERROR(__xludf.DUMMYFUNCTION("""COMPUTED_VALUE"""),"")</f>
        <v/>
      </c>
      <c r="BC152" s="82"/>
      <c r="BD152" s="83"/>
      <c r="BE152" s="75" t="str">
        <f ca="1">IFERROR(__xludf.DUMMYFUNCTION("""COMPUTED_VALUE"""),"")</f>
        <v/>
      </c>
      <c r="BF152" s="82"/>
      <c r="BG152" s="83"/>
      <c r="BH152" s="75" t="str">
        <f ca="1">IFERROR(__xludf.DUMMYFUNCTION("""COMPUTED_VALUE"""),"")</f>
        <v/>
      </c>
      <c r="BI152" s="46"/>
    </row>
    <row r="153" spans="1:61" ht="22.5" customHeight="1" x14ac:dyDescent="0.25">
      <c r="A153" s="46"/>
      <c r="B153" s="85"/>
      <c r="C153" s="75"/>
      <c r="D153" s="75"/>
      <c r="E153" s="75"/>
      <c r="F153" s="76"/>
      <c r="G153" s="77" t="str">
        <f ca="1">IFERROR(__xludf.DUMMYFUNCTION("""COMPUTED_VALUE"""),"")</f>
        <v/>
      </c>
      <c r="H153" s="78" t="str">
        <f ca="1">IFERROR(__xludf.DUMMYFUNCTION("""COMPUTED_VALUE"""),"")</f>
        <v/>
      </c>
      <c r="I153" s="79" t="str">
        <f ca="1">IFERROR(__xludf.DUMMYFUNCTION("""COMPUTED_VALUE"""),"")</f>
        <v/>
      </c>
      <c r="J153" s="264"/>
      <c r="K153" s="82" t="str">
        <f ca="1">IFERROR(__xludf.DUMMYFUNCTION("""COMPUTED_VALUE"""),"")</f>
        <v/>
      </c>
      <c r="L153" s="81" t="str">
        <f ca="1">IFERROR(__xludf.DUMMYFUNCTION("""COMPUTED_VALUE"""),"")</f>
        <v/>
      </c>
      <c r="M153" s="82"/>
      <c r="N153" s="83"/>
      <c r="O153" s="75" t="str">
        <f ca="1">IFERROR(__xludf.DUMMYFUNCTION("""COMPUTED_VALUE"""),"")</f>
        <v/>
      </c>
      <c r="P153" s="82"/>
      <c r="Q153" s="83"/>
      <c r="R153" s="75" t="str">
        <f ca="1">IFERROR(__xludf.DUMMYFUNCTION("""COMPUTED_VALUE"""),"")</f>
        <v/>
      </c>
      <c r="S153" s="82"/>
      <c r="T153" s="83"/>
      <c r="U153" s="75" t="str">
        <f ca="1">IFERROR(__xludf.DUMMYFUNCTION("""COMPUTED_VALUE"""),"")</f>
        <v/>
      </c>
      <c r="V153" s="82"/>
      <c r="W153" s="83"/>
      <c r="X153" s="75" t="str">
        <f ca="1">IFERROR(__xludf.DUMMYFUNCTION("""COMPUTED_VALUE"""),"")</f>
        <v/>
      </c>
      <c r="Y153" s="82"/>
      <c r="Z153" s="83"/>
      <c r="AA153" s="75" t="str">
        <f ca="1">IFERROR(__xludf.DUMMYFUNCTION("""COMPUTED_VALUE"""),"")</f>
        <v/>
      </c>
      <c r="AB153" s="82"/>
      <c r="AC153" s="83"/>
      <c r="AD153" s="75" t="str">
        <f ca="1">IFERROR(__xludf.DUMMYFUNCTION("""COMPUTED_VALUE"""),"")</f>
        <v/>
      </c>
      <c r="AE153" s="82"/>
      <c r="AF153" s="83"/>
      <c r="AG153" s="75" t="str">
        <f ca="1">IFERROR(__xludf.DUMMYFUNCTION("""COMPUTED_VALUE"""),"")</f>
        <v/>
      </c>
      <c r="AH153" s="82"/>
      <c r="AI153" s="83"/>
      <c r="AJ153" s="75" t="str">
        <f ca="1">IFERROR(__xludf.DUMMYFUNCTION("""COMPUTED_VALUE"""),"")</f>
        <v/>
      </c>
      <c r="AK153" s="82"/>
      <c r="AL153" s="83"/>
      <c r="AM153" s="75" t="str">
        <f ca="1">IFERROR(__xludf.DUMMYFUNCTION("""COMPUTED_VALUE"""),"")</f>
        <v/>
      </c>
      <c r="AN153" s="82"/>
      <c r="AO153" s="83"/>
      <c r="AP153" s="75" t="str">
        <f ca="1">IFERROR(__xludf.DUMMYFUNCTION("""COMPUTED_VALUE"""),"")</f>
        <v/>
      </c>
      <c r="AQ153" s="82"/>
      <c r="AR153" s="83"/>
      <c r="AS153" s="75" t="str">
        <f ca="1">IFERROR(__xludf.DUMMYFUNCTION("""COMPUTED_VALUE"""),"")</f>
        <v/>
      </c>
      <c r="AT153" s="82"/>
      <c r="AU153" s="83"/>
      <c r="AV153" s="75" t="str">
        <f ca="1">IFERROR(__xludf.DUMMYFUNCTION("""COMPUTED_VALUE"""),"")</f>
        <v/>
      </c>
      <c r="AW153" s="82"/>
      <c r="AX153" s="83"/>
      <c r="AY153" s="75" t="str">
        <f ca="1">IFERROR(__xludf.DUMMYFUNCTION("""COMPUTED_VALUE"""),"")</f>
        <v/>
      </c>
      <c r="AZ153" s="82"/>
      <c r="BA153" s="83"/>
      <c r="BB153" s="75" t="str">
        <f ca="1">IFERROR(__xludf.DUMMYFUNCTION("""COMPUTED_VALUE"""),"")</f>
        <v/>
      </c>
      <c r="BC153" s="82"/>
      <c r="BD153" s="83"/>
      <c r="BE153" s="75" t="str">
        <f ca="1">IFERROR(__xludf.DUMMYFUNCTION("""COMPUTED_VALUE"""),"")</f>
        <v/>
      </c>
      <c r="BF153" s="82"/>
      <c r="BG153" s="83"/>
      <c r="BH153" s="75" t="str">
        <f ca="1">IFERROR(__xludf.DUMMYFUNCTION("""COMPUTED_VALUE"""),"")</f>
        <v/>
      </c>
      <c r="BI153" s="46"/>
    </row>
    <row r="154" spans="1:61" ht="22.5" customHeight="1" x14ac:dyDescent="0.25">
      <c r="A154" s="46"/>
      <c r="B154" s="85"/>
      <c r="C154" s="75"/>
      <c r="D154" s="75"/>
      <c r="E154" s="75"/>
      <c r="F154" s="76"/>
      <c r="G154" s="77" t="str">
        <f ca="1">IFERROR(__xludf.DUMMYFUNCTION("""COMPUTED_VALUE"""),"")</f>
        <v/>
      </c>
      <c r="H154" s="78" t="str">
        <f ca="1">IFERROR(__xludf.DUMMYFUNCTION("""COMPUTED_VALUE"""),"")</f>
        <v/>
      </c>
      <c r="I154" s="79" t="str">
        <f ca="1">IFERROR(__xludf.DUMMYFUNCTION("""COMPUTED_VALUE"""),"")</f>
        <v/>
      </c>
      <c r="J154" s="264"/>
      <c r="K154" s="82" t="str">
        <f ca="1">IFERROR(__xludf.DUMMYFUNCTION("""COMPUTED_VALUE"""),"")</f>
        <v/>
      </c>
      <c r="L154" s="81" t="str">
        <f ca="1">IFERROR(__xludf.DUMMYFUNCTION("""COMPUTED_VALUE"""),"")</f>
        <v/>
      </c>
      <c r="M154" s="82"/>
      <c r="N154" s="83"/>
      <c r="O154" s="75" t="str">
        <f ca="1">IFERROR(__xludf.DUMMYFUNCTION("""COMPUTED_VALUE"""),"")</f>
        <v/>
      </c>
      <c r="P154" s="82"/>
      <c r="Q154" s="83"/>
      <c r="R154" s="75" t="str">
        <f ca="1">IFERROR(__xludf.DUMMYFUNCTION("""COMPUTED_VALUE"""),"")</f>
        <v/>
      </c>
      <c r="S154" s="82"/>
      <c r="T154" s="83"/>
      <c r="U154" s="75" t="str">
        <f ca="1">IFERROR(__xludf.DUMMYFUNCTION("""COMPUTED_VALUE"""),"")</f>
        <v/>
      </c>
      <c r="V154" s="82"/>
      <c r="W154" s="83"/>
      <c r="X154" s="75" t="str">
        <f ca="1">IFERROR(__xludf.DUMMYFUNCTION("""COMPUTED_VALUE"""),"")</f>
        <v/>
      </c>
      <c r="Y154" s="82"/>
      <c r="Z154" s="83"/>
      <c r="AA154" s="75" t="str">
        <f ca="1">IFERROR(__xludf.DUMMYFUNCTION("""COMPUTED_VALUE"""),"")</f>
        <v/>
      </c>
      <c r="AB154" s="82"/>
      <c r="AC154" s="83"/>
      <c r="AD154" s="75" t="str">
        <f ca="1">IFERROR(__xludf.DUMMYFUNCTION("""COMPUTED_VALUE"""),"")</f>
        <v/>
      </c>
      <c r="AE154" s="82"/>
      <c r="AF154" s="83"/>
      <c r="AG154" s="75" t="str">
        <f ca="1">IFERROR(__xludf.DUMMYFUNCTION("""COMPUTED_VALUE"""),"")</f>
        <v/>
      </c>
      <c r="AH154" s="82"/>
      <c r="AI154" s="83"/>
      <c r="AJ154" s="75" t="str">
        <f ca="1">IFERROR(__xludf.DUMMYFUNCTION("""COMPUTED_VALUE"""),"")</f>
        <v/>
      </c>
      <c r="AK154" s="82"/>
      <c r="AL154" s="83"/>
      <c r="AM154" s="75" t="str">
        <f ca="1">IFERROR(__xludf.DUMMYFUNCTION("""COMPUTED_VALUE"""),"")</f>
        <v/>
      </c>
      <c r="AN154" s="82"/>
      <c r="AO154" s="83"/>
      <c r="AP154" s="75" t="str">
        <f ca="1">IFERROR(__xludf.DUMMYFUNCTION("""COMPUTED_VALUE"""),"")</f>
        <v/>
      </c>
      <c r="AQ154" s="82"/>
      <c r="AR154" s="83"/>
      <c r="AS154" s="75" t="str">
        <f ca="1">IFERROR(__xludf.DUMMYFUNCTION("""COMPUTED_VALUE"""),"")</f>
        <v/>
      </c>
      <c r="AT154" s="82"/>
      <c r="AU154" s="83"/>
      <c r="AV154" s="75" t="str">
        <f ca="1">IFERROR(__xludf.DUMMYFUNCTION("""COMPUTED_VALUE"""),"")</f>
        <v/>
      </c>
      <c r="AW154" s="82"/>
      <c r="AX154" s="83"/>
      <c r="AY154" s="75" t="str">
        <f ca="1">IFERROR(__xludf.DUMMYFUNCTION("""COMPUTED_VALUE"""),"")</f>
        <v/>
      </c>
      <c r="AZ154" s="82"/>
      <c r="BA154" s="83"/>
      <c r="BB154" s="75" t="str">
        <f ca="1">IFERROR(__xludf.DUMMYFUNCTION("""COMPUTED_VALUE"""),"")</f>
        <v/>
      </c>
      <c r="BC154" s="82"/>
      <c r="BD154" s="83"/>
      <c r="BE154" s="75" t="str">
        <f ca="1">IFERROR(__xludf.DUMMYFUNCTION("""COMPUTED_VALUE"""),"")</f>
        <v/>
      </c>
      <c r="BF154" s="82"/>
      <c r="BG154" s="83"/>
      <c r="BH154" s="75" t="str">
        <f ca="1">IFERROR(__xludf.DUMMYFUNCTION("""COMPUTED_VALUE"""),"")</f>
        <v/>
      </c>
      <c r="BI154" s="46"/>
    </row>
    <row r="155" spans="1:61" ht="22.5" customHeight="1" x14ac:dyDescent="0.25">
      <c r="A155" s="46"/>
      <c r="B155" s="85"/>
      <c r="C155" s="75"/>
      <c r="D155" s="75"/>
      <c r="E155" s="75"/>
      <c r="F155" s="76"/>
      <c r="G155" s="77" t="str">
        <f ca="1">IFERROR(__xludf.DUMMYFUNCTION("""COMPUTED_VALUE"""),"")</f>
        <v/>
      </c>
      <c r="H155" s="78" t="str">
        <f ca="1">IFERROR(__xludf.DUMMYFUNCTION("""COMPUTED_VALUE"""),"")</f>
        <v/>
      </c>
      <c r="I155" s="79" t="str">
        <f ca="1">IFERROR(__xludf.DUMMYFUNCTION("""COMPUTED_VALUE"""),"")</f>
        <v/>
      </c>
      <c r="J155" s="264"/>
      <c r="K155" s="82" t="str">
        <f ca="1">IFERROR(__xludf.DUMMYFUNCTION("""COMPUTED_VALUE"""),"")</f>
        <v/>
      </c>
      <c r="L155" s="81" t="str">
        <f ca="1">IFERROR(__xludf.DUMMYFUNCTION("""COMPUTED_VALUE"""),"")</f>
        <v/>
      </c>
      <c r="M155" s="82"/>
      <c r="N155" s="83"/>
      <c r="O155" s="75" t="str">
        <f ca="1">IFERROR(__xludf.DUMMYFUNCTION("""COMPUTED_VALUE"""),"")</f>
        <v/>
      </c>
      <c r="P155" s="82"/>
      <c r="Q155" s="83"/>
      <c r="R155" s="75" t="str">
        <f ca="1">IFERROR(__xludf.DUMMYFUNCTION("""COMPUTED_VALUE"""),"")</f>
        <v/>
      </c>
      <c r="S155" s="82"/>
      <c r="T155" s="83"/>
      <c r="U155" s="75" t="str">
        <f ca="1">IFERROR(__xludf.DUMMYFUNCTION("""COMPUTED_VALUE"""),"")</f>
        <v/>
      </c>
      <c r="V155" s="82"/>
      <c r="W155" s="83"/>
      <c r="X155" s="75" t="str">
        <f ca="1">IFERROR(__xludf.DUMMYFUNCTION("""COMPUTED_VALUE"""),"")</f>
        <v/>
      </c>
      <c r="Y155" s="82"/>
      <c r="Z155" s="83"/>
      <c r="AA155" s="75" t="str">
        <f ca="1">IFERROR(__xludf.DUMMYFUNCTION("""COMPUTED_VALUE"""),"")</f>
        <v/>
      </c>
      <c r="AB155" s="82"/>
      <c r="AC155" s="83"/>
      <c r="AD155" s="75" t="str">
        <f ca="1">IFERROR(__xludf.DUMMYFUNCTION("""COMPUTED_VALUE"""),"")</f>
        <v/>
      </c>
      <c r="AE155" s="82"/>
      <c r="AF155" s="83"/>
      <c r="AG155" s="75" t="str">
        <f ca="1">IFERROR(__xludf.DUMMYFUNCTION("""COMPUTED_VALUE"""),"")</f>
        <v/>
      </c>
      <c r="AH155" s="82"/>
      <c r="AI155" s="83"/>
      <c r="AJ155" s="75" t="str">
        <f ca="1">IFERROR(__xludf.DUMMYFUNCTION("""COMPUTED_VALUE"""),"")</f>
        <v/>
      </c>
      <c r="AK155" s="82"/>
      <c r="AL155" s="83"/>
      <c r="AM155" s="75" t="str">
        <f ca="1">IFERROR(__xludf.DUMMYFUNCTION("""COMPUTED_VALUE"""),"")</f>
        <v/>
      </c>
      <c r="AN155" s="82"/>
      <c r="AO155" s="83"/>
      <c r="AP155" s="75" t="str">
        <f ca="1">IFERROR(__xludf.DUMMYFUNCTION("""COMPUTED_VALUE"""),"")</f>
        <v/>
      </c>
      <c r="AQ155" s="82"/>
      <c r="AR155" s="83"/>
      <c r="AS155" s="75" t="str">
        <f ca="1">IFERROR(__xludf.DUMMYFUNCTION("""COMPUTED_VALUE"""),"")</f>
        <v/>
      </c>
      <c r="AT155" s="82"/>
      <c r="AU155" s="83"/>
      <c r="AV155" s="75" t="str">
        <f ca="1">IFERROR(__xludf.DUMMYFUNCTION("""COMPUTED_VALUE"""),"")</f>
        <v/>
      </c>
      <c r="AW155" s="82"/>
      <c r="AX155" s="83"/>
      <c r="AY155" s="75" t="str">
        <f ca="1">IFERROR(__xludf.DUMMYFUNCTION("""COMPUTED_VALUE"""),"")</f>
        <v/>
      </c>
      <c r="AZ155" s="82"/>
      <c r="BA155" s="83"/>
      <c r="BB155" s="75" t="str">
        <f ca="1">IFERROR(__xludf.DUMMYFUNCTION("""COMPUTED_VALUE"""),"")</f>
        <v/>
      </c>
      <c r="BC155" s="82"/>
      <c r="BD155" s="83"/>
      <c r="BE155" s="75" t="str">
        <f ca="1">IFERROR(__xludf.DUMMYFUNCTION("""COMPUTED_VALUE"""),"")</f>
        <v/>
      </c>
      <c r="BF155" s="82"/>
      <c r="BG155" s="83"/>
      <c r="BH155" s="75" t="str">
        <f ca="1">IFERROR(__xludf.DUMMYFUNCTION("""COMPUTED_VALUE"""),"")</f>
        <v/>
      </c>
      <c r="BI155" s="46"/>
    </row>
    <row r="156" spans="1:61" ht="22.5" customHeight="1" x14ac:dyDescent="0.25">
      <c r="A156" s="46"/>
      <c r="B156" s="85"/>
      <c r="C156" s="75"/>
      <c r="D156" s="75"/>
      <c r="E156" s="75"/>
      <c r="F156" s="76"/>
      <c r="G156" s="77" t="str">
        <f ca="1">IFERROR(__xludf.DUMMYFUNCTION("""COMPUTED_VALUE"""),"")</f>
        <v/>
      </c>
      <c r="H156" s="78" t="str">
        <f ca="1">IFERROR(__xludf.DUMMYFUNCTION("""COMPUTED_VALUE"""),"")</f>
        <v/>
      </c>
      <c r="I156" s="79" t="str">
        <f ca="1">IFERROR(__xludf.DUMMYFUNCTION("""COMPUTED_VALUE"""),"")</f>
        <v/>
      </c>
      <c r="J156" s="264"/>
      <c r="K156" s="82" t="str">
        <f ca="1">IFERROR(__xludf.DUMMYFUNCTION("""COMPUTED_VALUE"""),"")</f>
        <v/>
      </c>
      <c r="L156" s="81" t="str">
        <f ca="1">IFERROR(__xludf.DUMMYFUNCTION("""COMPUTED_VALUE"""),"")</f>
        <v/>
      </c>
      <c r="M156" s="82"/>
      <c r="N156" s="83"/>
      <c r="O156" s="75" t="str">
        <f ca="1">IFERROR(__xludf.DUMMYFUNCTION("""COMPUTED_VALUE"""),"")</f>
        <v/>
      </c>
      <c r="P156" s="82"/>
      <c r="Q156" s="83"/>
      <c r="R156" s="75" t="str">
        <f ca="1">IFERROR(__xludf.DUMMYFUNCTION("""COMPUTED_VALUE"""),"")</f>
        <v/>
      </c>
      <c r="S156" s="82"/>
      <c r="T156" s="83"/>
      <c r="U156" s="75" t="str">
        <f ca="1">IFERROR(__xludf.DUMMYFUNCTION("""COMPUTED_VALUE"""),"")</f>
        <v/>
      </c>
      <c r="V156" s="82"/>
      <c r="W156" s="83"/>
      <c r="X156" s="75" t="str">
        <f ca="1">IFERROR(__xludf.DUMMYFUNCTION("""COMPUTED_VALUE"""),"")</f>
        <v/>
      </c>
      <c r="Y156" s="82"/>
      <c r="Z156" s="83"/>
      <c r="AA156" s="75" t="str">
        <f ca="1">IFERROR(__xludf.DUMMYFUNCTION("""COMPUTED_VALUE"""),"")</f>
        <v/>
      </c>
      <c r="AB156" s="82"/>
      <c r="AC156" s="83"/>
      <c r="AD156" s="75" t="str">
        <f ca="1">IFERROR(__xludf.DUMMYFUNCTION("""COMPUTED_VALUE"""),"")</f>
        <v/>
      </c>
      <c r="AE156" s="82"/>
      <c r="AF156" s="83"/>
      <c r="AG156" s="75" t="str">
        <f ca="1">IFERROR(__xludf.DUMMYFUNCTION("""COMPUTED_VALUE"""),"")</f>
        <v/>
      </c>
      <c r="AH156" s="82"/>
      <c r="AI156" s="83"/>
      <c r="AJ156" s="75" t="str">
        <f ca="1">IFERROR(__xludf.DUMMYFUNCTION("""COMPUTED_VALUE"""),"")</f>
        <v/>
      </c>
      <c r="AK156" s="82"/>
      <c r="AL156" s="83"/>
      <c r="AM156" s="75" t="str">
        <f ca="1">IFERROR(__xludf.DUMMYFUNCTION("""COMPUTED_VALUE"""),"")</f>
        <v/>
      </c>
      <c r="AN156" s="82"/>
      <c r="AO156" s="83"/>
      <c r="AP156" s="75" t="str">
        <f ca="1">IFERROR(__xludf.DUMMYFUNCTION("""COMPUTED_VALUE"""),"")</f>
        <v/>
      </c>
      <c r="AQ156" s="82"/>
      <c r="AR156" s="83"/>
      <c r="AS156" s="75" t="str">
        <f ca="1">IFERROR(__xludf.DUMMYFUNCTION("""COMPUTED_VALUE"""),"")</f>
        <v/>
      </c>
      <c r="AT156" s="82"/>
      <c r="AU156" s="83"/>
      <c r="AV156" s="75" t="str">
        <f ca="1">IFERROR(__xludf.DUMMYFUNCTION("""COMPUTED_VALUE"""),"")</f>
        <v/>
      </c>
      <c r="AW156" s="82"/>
      <c r="AX156" s="83"/>
      <c r="AY156" s="75" t="str">
        <f ca="1">IFERROR(__xludf.DUMMYFUNCTION("""COMPUTED_VALUE"""),"")</f>
        <v/>
      </c>
      <c r="AZ156" s="82"/>
      <c r="BA156" s="83"/>
      <c r="BB156" s="75" t="str">
        <f ca="1">IFERROR(__xludf.DUMMYFUNCTION("""COMPUTED_VALUE"""),"")</f>
        <v/>
      </c>
      <c r="BC156" s="82"/>
      <c r="BD156" s="83"/>
      <c r="BE156" s="75" t="str">
        <f ca="1">IFERROR(__xludf.DUMMYFUNCTION("""COMPUTED_VALUE"""),"")</f>
        <v/>
      </c>
      <c r="BF156" s="82"/>
      <c r="BG156" s="83"/>
      <c r="BH156" s="75" t="str">
        <f ca="1">IFERROR(__xludf.DUMMYFUNCTION("""COMPUTED_VALUE"""),"")</f>
        <v/>
      </c>
      <c r="BI156" s="46"/>
    </row>
    <row r="157" spans="1:61" ht="22.5" customHeight="1" x14ac:dyDescent="0.25">
      <c r="A157" s="46"/>
      <c r="B157" s="85"/>
      <c r="C157" s="75"/>
      <c r="D157" s="75"/>
      <c r="E157" s="75"/>
      <c r="F157" s="76"/>
      <c r="G157" s="77" t="str">
        <f ca="1">IFERROR(__xludf.DUMMYFUNCTION("""COMPUTED_VALUE"""),"")</f>
        <v/>
      </c>
      <c r="H157" s="78" t="str">
        <f ca="1">IFERROR(__xludf.DUMMYFUNCTION("""COMPUTED_VALUE"""),"")</f>
        <v/>
      </c>
      <c r="I157" s="79" t="str">
        <f ca="1">IFERROR(__xludf.DUMMYFUNCTION("""COMPUTED_VALUE"""),"")</f>
        <v/>
      </c>
      <c r="J157" s="264"/>
      <c r="K157" s="82" t="str">
        <f ca="1">IFERROR(__xludf.DUMMYFUNCTION("""COMPUTED_VALUE"""),"")</f>
        <v/>
      </c>
      <c r="L157" s="81" t="str">
        <f ca="1">IFERROR(__xludf.DUMMYFUNCTION("""COMPUTED_VALUE"""),"")</f>
        <v/>
      </c>
      <c r="M157" s="82"/>
      <c r="N157" s="83"/>
      <c r="O157" s="75" t="str">
        <f ca="1">IFERROR(__xludf.DUMMYFUNCTION("""COMPUTED_VALUE"""),"")</f>
        <v/>
      </c>
      <c r="P157" s="82"/>
      <c r="Q157" s="83"/>
      <c r="R157" s="75" t="str">
        <f ca="1">IFERROR(__xludf.DUMMYFUNCTION("""COMPUTED_VALUE"""),"")</f>
        <v/>
      </c>
      <c r="S157" s="82"/>
      <c r="T157" s="83"/>
      <c r="U157" s="75" t="str">
        <f ca="1">IFERROR(__xludf.DUMMYFUNCTION("""COMPUTED_VALUE"""),"")</f>
        <v/>
      </c>
      <c r="V157" s="82"/>
      <c r="W157" s="83"/>
      <c r="X157" s="75" t="str">
        <f ca="1">IFERROR(__xludf.DUMMYFUNCTION("""COMPUTED_VALUE"""),"")</f>
        <v/>
      </c>
      <c r="Y157" s="82"/>
      <c r="Z157" s="83"/>
      <c r="AA157" s="75" t="str">
        <f ca="1">IFERROR(__xludf.DUMMYFUNCTION("""COMPUTED_VALUE"""),"")</f>
        <v/>
      </c>
      <c r="AB157" s="82"/>
      <c r="AC157" s="83"/>
      <c r="AD157" s="75" t="str">
        <f ca="1">IFERROR(__xludf.DUMMYFUNCTION("""COMPUTED_VALUE"""),"")</f>
        <v/>
      </c>
      <c r="AE157" s="82"/>
      <c r="AF157" s="83"/>
      <c r="AG157" s="75" t="str">
        <f ca="1">IFERROR(__xludf.DUMMYFUNCTION("""COMPUTED_VALUE"""),"")</f>
        <v/>
      </c>
      <c r="AH157" s="82"/>
      <c r="AI157" s="83"/>
      <c r="AJ157" s="75" t="str">
        <f ca="1">IFERROR(__xludf.DUMMYFUNCTION("""COMPUTED_VALUE"""),"")</f>
        <v/>
      </c>
      <c r="AK157" s="82"/>
      <c r="AL157" s="83"/>
      <c r="AM157" s="75" t="str">
        <f ca="1">IFERROR(__xludf.DUMMYFUNCTION("""COMPUTED_VALUE"""),"")</f>
        <v/>
      </c>
      <c r="AN157" s="82"/>
      <c r="AO157" s="83"/>
      <c r="AP157" s="75" t="str">
        <f ca="1">IFERROR(__xludf.DUMMYFUNCTION("""COMPUTED_VALUE"""),"")</f>
        <v/>
      </c>
      <c r="AQ157" s="82"/>
      <c r="AR157" s="83"/>
      <c r="AS157" s="75" t="str">
        <f ca="1">IFERROR(__xludf.DUMMYFUNCTION("""COMPUTED_VALUE"""),"")</f>
        <v/>
      </c>
      <c r="AT157" s="82"/>
      <c r="AU157" s="83"/>
      <c r="AV157" s="75" t="str">
        <f ca="1">IFERROR(__xludf.DUMMYFUNCTION("""COMPUTED_VALUE"""),"")</f>
        <v/>
      </c>
      <c r="AW157" s="82"/>
      <c r="AX157" s="83"/>
      <c r="AY157" s="75" t="str">
        <f ca="1">IFERROR(__xludf.DUMMYFUNCTION("""COMPUTED_VALUE"""),"")</f>
        <v/>
      </c>
      <c r="AZ157" s="82"/>
      <c r="BA157" s="83"/>
      <c r="BB157" s="75" t="str">
        <f ca="1">IFERROR(__xludf.DUMMYFUNCTION("""COMPUTED_VALUE"""),"")</f>
        <v/>
      </c>
      <c r="BC157" s="82"/>
      <c r="BD157" s="83"/>
      <c r="BE157" s="75" t="str">
        <f ca="1">IFERROR(__xludf.DUMMYFUNCTION("""COMPUTED_VALUE"""),"")</f>
        <v/>
      </c>
      <c r="BF157" s="82"/>
      <c r="BG157" s="83"/>
      <c r="BH157" s="75" t="str">
        <f ca="1">IFERROR(__xludf.DUMMYFUNCTION("""COMPUTED_VALUE"""),"")</f>
        <v/>
      </c>
      <c r="BI157" s="46"/>
    </row>
    <row r="158" spans="1:61" ht="22.5" customHeight="1" x14ac:dyDescent="0.25">
      <c r="A158" s="46"/>
      <c r="B158" s="85"/>
      <c r="C158" s="75"/>
      <c r="D158" s="75"/>
      <c r="E158" s="75"/>
      <c r="F158" s="76"/>
      <c r="G158" s="77" t="str">
        <f ca="1">IFERROR(__xludf.DUMMYFUNCTION("""COMPUTED_VALUE"""),"")</f>
        <v/>
      </c>
      <c r="H158" s="78" t="str">
        <f ca="1">IFERROR(__xludf.DUMMYFUNCTION("""COMPUTED_VALUE"""),"")</f>
        <v/>
      </c>
      <c r="I158" s="79" t="str">
        <f ca="1">IFERROR(__xludf.DUMMYFUNCTION("""COMPUTED_VALUE"""),"")</f>
        <v/>
      </c>
      <c r="J158" s="264"/>
      <c r="K158" s="82" t="str">
        <f ca="1">IFERROR(__xludf.DUMMYFUNCTION("""COMPUTED_VALUE"""),"")</f>
        <v/>
      </c>
      <c r="L158" s="81" t="str">
        <f ca="1">IFERROR(__xludf.DUMMYFUNCTION("""COMPUTED_VALUE"""),"")</f>
        <v/>
      </c>
      <c r="M158" s="82"/>
      <c r="N158" s="83"/>
      <c r="O158" s="75" t="str">
        <f ca="1">IFERROR(__xludf.DUMMYFUNCTION("""COMPUTED_VALUE"""),"")</f>
        <v/>
      </c>
      <c r="P158" s="82"/>
      <c r="Q158" s="83"/>
      <c r="R158" s="75" t="str">
        <f ca="1">IFERROR(__xludf.DUMMYFUNCTION("""COMPUTED_VALUE"""),"")</f>
        <v/>
      </c>
      <c r="S158" s="82"/>
      <c r="T158" s="83"/>
      <c r="U158" s="75" t="str">
        <f ca="1">IFERROR(__xludf.DUMMYFUNCTION("""COMPUTED_VALUE"""),"")</f>
        <v/>
      </c>
      <c r="V158" s="82"/>
      <c r="W158" s="83"/>
      <c r="X158" s="75" t="str">
        <f ca="1">IFERROR(__xludf.DUMMYFUNCTION("""COMPUTED_VALUE"""),"")</f>
        <v/>
      </c>
      <c r="Y158" s="82"/>
      <c r="Z158" s="83"/>
      <c r="AA158" s="75" t="str">
        <f ca="1">IFERROR(__xludf.DUMMYFUNCTION("""COMPUTED_VALUE"""),"")</f>
        <v/>
      </c>
      <c r="AB158" s="82"/>
      <c r="AC158" s="83"/>
      <c r="AD158" s="75" t="str">
        <f ca="1">IFERROR(__xludf.DUMMYFUNCTION("""COMPUTED_VALUE"""),"")</f>
        <v/>
      </c>
      <c r="AE158" s="82"/>
      <c r="AF158" s="83"/>
      <c r="AG158" s="75" t="str">
        <f ca="1">IFERROR(__xludf.DUMMYFUNCTION("""COMPUTED_VALUE"""),"")</f>
        <v/>
      </c>
      <c r="AH158" s="82"/>
      <c r="AI158" s="83"/>
      <c r="AJ158" s="75" t="str">
        <f ca="1">IFERROR(__xludf.DUMMYFUNCTION("""COMPUTED_VALUE"""),"")</f>
        <v/>
      </c>
      <c r="AK158" s="82"/>
      <c r="AL158" s="83"/>
      <c r="AM158" s="75" t="str">
        <f ca="1">IFERROR(__xludf.DUMMYFUNCTION("""COMPUTED_VALUE"""),"")</f>
        <v/>
      </c>
      <c r="AN158" s="82"/>
      <c r="AO158" s="83"/>
      <c r="AP158" s="75" t="str">
        <f ca="1">IFERROR(__xludf.DUMMYFUNCTION("""COMPUTED_VALUE"""),"")</f>
        <v/>
      </c>
      <c r="AQ158" s="82"/>
      <c r="AR158" s="83"/>
      <c r="AS158" s="75" t="str">
        <f ca="1">IFERROR(__xludf.DUMMYFUNCTION("""COMPUTED_VALUE"""),"")</f>
        <v/>
      </c>
      <c r="AT158" s="82"/>
      <c r="AU158" s="83"/>
      <c r="AV158" s="75" t="str">
        <f ca="1">IFERROR(__xludf.DUMMYFUNCTION("""COMPUTED_VALUE"""),"")</f>
        <v/>
      </c>
      <c r="AW158" s="82"/>
      <c r="AX158" s="83"/>
      <c r="AY158" s="75" t="str">
        <f ca="1">IFERROR(__xludf.DUMMYFUNCTION("""COMPUTED_VALUE"""),"")</f>
        <v/>
      </c>
      <c r="AZ158" s="82"/>
      <c r="BA158" s="83"/>
      <c r="BB158" s="75" t="str">
        <f ca="1">IFERROR(__xludf.DUMMYFUNCTION("""COMPUTED_VALUE"""),"")</f>
        <v/>
      </c>
      <c r="BC158" s="82"/>
      <c r="BD158" s="83"/>
      <c r="BE158" s="75" t="str">
        <f ca="1">IFERROR(__xludf.DUMMYFUNCTION("""COMPUTED_VALUE"""),"")</f>
        <v/>
      </c>
      <c r="BF158" s="82"/>
      <c r="BG158" s="83"/>
      <c r="BH158" s="75" t="str">
        <f ca="1">IFERROR(__xludf.DUMMYFUNCTION("""COMPUTED_VALUE"""),"")</f>
        <v/>
      </c>
      <c r="BI158" s="46"/>
    </row>
    <row r="159" spans="1:61" ht="22.5" customHeight="1" x14ac:dyDescent="0.25">
      <c r="A159" s="46"/>
      <c r="B159" s="85"/>
      <c r="C159" s="75"/>
      <c r="D159" s="75"/>
      <c r="E159" s="75"/>
      <c r="F159" s="76"/>
      <c r="G159" s="77" t="str">
        <f ca="1">IFERROR(__xludf.DUMMYFUNCTION("""COMPUTED_VALUE"""),"")</f>
        <v/>
      </c>
      <c r="H159" s="78" t="str">
        <f ca="1">IFERROR(__xludf.DUMMYFUNCTION("""COMPUTED_VALUE"""),"")</f>
        <v/>
      </c>
      <c r="I159" s="79" t="str">
        <f ca="1">IFERROR(__xludf.DUMMYFUNCTION("""COMPUTED_VALUE"""),"")</f>
        <v/>
      </c>
      <c r="J159" s="264"/>
      <c r="K159" s="82" t="str">
        <f ca="1">IFERROR(__xludf.DUMMYFUNCTION("""COMPUTED_VALUE"""),"")</f>
        <v/>
      </c>
      <c r="L159" s="81" t="str">
        <f ca="1">IFERROR(__xludf.DUMMYFUNCTION("""COMPUTED_VALUE"""),"")</f>
        <v/>
      </c>
      <c r="M159" s="82"/>
      <c r="N159" s="83"/>
      <c r="O159" s="75" t="str">
        <f ca="1">IFERROR(__xludf.DUMMYFUNCTION("""COMPUTED_VALUE"""),"")</f>
        <v/>
      </c>
      <c r="P159" s="82"/>
      <c r="Q159" s="83"/>
      <c r="R159" s="75" t="str">
        <f ca="1">IFERROR(__xludf.DUMMYFUNCTION("""COMPUTED_VALUE"""),"")</f>
        <v/>
      </c>
      <c r="S159" s="82"/>
      <c r="T159" s="83"/>
      <c r="U159" s="75" t="str">
        <f ca="1">IFERROR(__xludf.DUMMYFUNCTION("""COMPUTED_VALUE"""),"")</f>
        <v/>
      </c>
      <c r="V159" s="82"/>
      <c r="W159" s="83"/>
      <c r="X159" s="75" t="str">
        <f ca="1">IFERROR(__xludf.DUMMYFUNCTION("""COMPUTED_VALUE"""),"")</f>
        <v/>
      </c>
      <c r="Y159" s="82"/>
      <c r="Z159" s="83"/>
      <c r="AA159" s="75" t="str">
        <f ca="1">IFERROR(__xludf.DUMMYFUNCTION("""COMPUTED_VALUE"""),"")</f>
        <v/>
      </c>
      <c r="AB159" s="82"/>
      <c r="AC159" s="83"/>
      <c r="AD159" s="75" t="str">
        <f ca="1">IFERROR(__xludf.DUMMYFUNCTION("""COMPUTED_VALUE"""),"")</f>
        <v/>
      </c>
      <c r="AE159" s="82"/>
      <c r="AF159" s="83"/>
      <c r="AG159" s="75" t="str">
        <f ca="1">IFERROR(__xludf.DUMMYFUNCTION("""COMPUTED_VALUE"""),"")</f>
        <v/>
      </c>
      <c r="AH159" s="82"/>
      <c r="AI159" s="83"/>
      <c r="AJ159" s="75" t="str">
        <f ca="1">IFERROR(__xludf.DUMMYFUNCTION("""COMPUTED_VALUE"""),"")</f>
        <v/>
      </c>
      <c r="AK159" s="82"/>
      <c r="AL159" s="83"/>
      <c r="AM159" s="75" t="str">
        <f ca="1">IFERROR(__xludf.DUMMYFUNCTION("""COMPUTED_VALUE"""),"")</f>
        <v/>
      </c>
      <c r="AN159" s="82"/>
      <c r="AO159" s="83"/>
      <c r="AP159" s="75" t="str">
        <f ca="1">IFERROR(__xludf.DUMMYFUNCTION("""COMPUTED_VALUE"""),"")</f>
        <v/>
      </c>
      <c r="AQ159" s="82"/>
      <c r="AR159" s="83"/>
      <c r="AS159" s="75" t="str">
        <f ca="1">IFERROR(__xludf.DUMMYFUNCTION("""COMPUTED_VALUE"""),"")</f>
        <v/>
      </c>
      <c r="AT159" s="82"/>
      <c r="AU159" s="83"/>
      <c r="AV159" s="75" t="str">
        <f ca="1">IFERROR(__xludf.DUMMYFUNCTION("""COMPUTED_VALUE"""),"")</f>
        <v/>
      </c>
      <c r="AW159" s="82"/>
      <c r="AX159" s="83"/>
      <c r="AY159" s="75" t="str">
        <f ca="1">IFERROR(__xludf.DUMMYFUNCTION("""COMPUTED_VALUE"""),"")</f>
        <v/>
      </c>
      <c r="AZ159" s="82"/>
      <c r="BA159" s="83"/>
      <c r="BB159" s="75" t="str">
        <f ca="1">IFERROR(__xludf.DUMMYFUNCTION("""COMPUTED_VALUE"""),"")</f>
        <v/>
      </c>
      <c r="BC159" s="82"/>
      <c r="BD159" s="83"/>
      <c r="BE159" s="75" t="str">
        <f ca="1">IFERROR(__xludf.DUMMYFUNCTION("""COMPUTED_VALUE"""),"")</f>
        <v/>
      </c>
      <c r="BF159" s="82"/>
      <c r="BG159" s="83"/>
      <c r="BH159" s="75" t="str">
        <f ca="1">IFERROR(__xludf.DUMMYFUNCTION("""COMPUTED_VALUE"""),"")</f>
        <v/>
      </c>
      <c r="BI159" s="46"/>
    </row>
    <row r="160" spans="1:61" ht="22.5" customHeight="1" x14ac:dyDescent="0.25">
      <c r="A160" s="46"/>
      <c r="B160" s="85"/>
      <c r="C160" s="75"/>
      <c r="D160" s="75"/>
      <c r="E160" s="75"/>
      <c r="F160" s="76"/>
      <c r="G160" s="77" t="str">
        <f ca="1">IFERROR(__xludf.DUMMYFUNCTION("""COMPUTED_VALUE"""),"")</f>
        <v/>
      </c>
      <c r="H160" s="78" t="str">
        <f ca="1">IFERROR(__xludf.DUMMYFUNCTION("""COMPUTED_VALUE"""),"")</f>
        <v/>
      </c>
      <c r="I160" s="79" t="str">
        <f ca="1">IFERROR(__xludf.DUMMYFUNCTION("""COMPUTED_VALUE"""),"")</f>
        <v/>
      </c>
      <c r="J160" s="264"/>
      <c r="K160" s="82" t="str">
        <f ca="1">IFERROR(__xludf.DUMMYFUNCTION("""COMPUTED_VALUE"""),"")</f>
        <v/>
      </c>
      <c r="L160" s="81" t="str">
        <f ca="1">IFERROR(__xludf.DUMMYFUNCTION("""COMPUTED_VALUE"""),"")</f>
        <v/>
      </c>
      <c r="M160" s="82"/>
      <c r="N160" s="83"/>
      <c r="O160" s="75" t="str">
        <f ca="1">IFERROR(__xludf.DUMMYFUNCTION("""COMPUTED_VALUE"""),"")</f>
        <v/>
      </c>
      <c r="P160" s="82"/>
      <c r="Q160" s="83"/>
      <c r="R160" s="75" t="str">
        <f ca="1">IFERROR(__xludf.DUMMYFUNCTION("""COMPUTED_VALUE"""),"")</f>
        <v/>
      </c>
      <c r="S160" s="82"/>
      <c r="T160" s="83"/>
      <c r="U160" s="75" t="str">
        <f ca="1">IFERROR(__xludf.DUMMYFUNCTION("""COMPUTED_VALUE"""),"")</f>
        <v/>
      </c>
      <c r="V160" s="82"/>
      <c r="W160" s="83"/>
      <c r="X160" s="75" t="str">
        <f ca="1">IFERROR(__xludf.DUMMYFUNCTION("""COMPUTED_VALUE"""),"")</f>
        <v/>
      </c>
      <c r="Y160" s="82"/>
      <c r="Z160" s="83"/>
      <c r="AA160" s="75" t="str">
        <f ca="1">IFERROR(__xludf.DUMMYFUNCTION("""COMPUTED_VALUE"""),"")</f>
        <v/>
      </c>
      <c r="AB160" s="82"/>
      <c r="AC160" s="83"/>
      <c r="AD160" s="75" t="str">
        <f ca="1">IFERROR(__xludf.DUMMYFUNCTION("""COMPUTED_VALUE"""),"")</f>
        <v/>
      </c>
      <c r="AE160" s="82"/>
      <c r="AF160" s="83"/>
      <c r="AG160" s="75" t="str">
        <f ca="1">IFERROR(__xludf.DUMMYFUNCTION("""COMPUTED_VALUE"""),"")</f>
        <v/>
      </c>
      <c r="AH160" s="82"/>
      <c r="AI160" s="83"/>
      <c r="AJ160" s="75" t="str">
        <f ca="1">IFERROR(__xludf.DUMMYFUNCTION("""COMPUTED_VALUE"""),"")</f>
        <v/>
      </c>
      <c r="AK160" s="82"/>
      <c r="AL160" s="83"/>
      <c r="AM160" s="75" t="str">
        <f ca="1">IFERROR(__xludf.DUMMYFUNCTION("""COMPUTED_VALUE"""),"")</f>
        <v/>
      </c>
      <c r="AN160" s="82"/>
      <c r="AO160" s="83"/>
      <c r="AP160" s="75" t="str">
        <f ca="1">IFERROR(__xludf.DUMMYFUNCTION("""COMPUTED_VALUE"""),"")</f>
        <v/>
      </c>
      <c r="AQ160" s="82"/>
      <c r="AR160" s="83"/>
      <c r="AS160" s="75" t="str">
        <f ca="1">IFERROR(__xludf.DUMMYFUNCTION("""COMPUTED_VALUE"""),"")</f>
        <v/>
      </c>
      <c r="AT160" s="82"/>
      <c r="AU160" s="83"/>
      <c r="AV160" s="75" t="str">
        <f ca="1">IFERROR(__xludf.DUMMYFUNCTION("""COMPUTED_VALUE"""),"")</f>
        <v/>
      </c>
      <c r="AW160" s="82"/>
      <c r="AX160" s="83"/>
      <c r="AY160" s="75" t="str">
        <f ca="1">IFERROR(__xludf.DUMMYFUNCTION("""COMPUTED_VALUE"""),"")</f>
        <v/>
      </c>
      <c r="AZ160" s="82"/>
      <c r="BA160" s="83"/>
      <c r="BB160" s="75" t="str">
        <f ca="1">IFERROR(__xludf.DUMMYFUNCTION("""COMPUTED_VALUE"""),"")</f>
        <v/>
      </c>
      <c r="BC160" s="82"/>
      <c r="BD160" s="83"/>
      <c r="BE160" s="75" t="str">
        <f ca="1">IFERROR(__xludf.DUMMYFUNCTION("""COMPUTED_VALUE"""),"")</f>
        <v/>
      </c>
      <c r="BF160" s="82"/>
      <c r="BG160" s="83"/>
      <c r="BH160" s="75" t="str">
        <f ca="1">IFERROR(__xludf.DUMMYFUNCTION("""COMPUTED_VALUE"""),"")</f>
        <v/>
      </c>
      <c r="BI160" s="46"/>
    </row>
    <row r="161" spans="1:61" ht="22.5" customHeight="1" x14ac:dyDescent="0.25">
      <c r="A161" s="46"/>
      <c r="B161" s="85"/>
      <c r="C161" s="75"/>
      <c r="D161" s="75"/>
      <c r="E161" s="75"/>
      <c r="F161" s="76"/>
      <c r="G161" s="77" t="str">
        <f ca="1">IFERROR(__xludf.DUMMYFUNCTION("""COMPUTED_VALUE"""),"")</f>
        <v/>
      </c>
      <c r="H161" s="78" t="str">
        <f ca="1">IFERROR(__xludf.DUMMYFUNCTION("""COMPUTED_VALUE"""),"")</f>
        <v/>
      </c>
      <c r="I161" s="79" t="str">
        <f ca="1">IFERROR(__xludf.DUMMYFUNCTION("""COMPUTED_VALUE"""),"")</f>
        <v/>
      </c>
      <c r="J161" s="264"/>
      <c r="K161" s="82" t="str">
        <f ca="1">IFERROR(__xludf.DUMMYFUNCTION("""COMPUTED_VALUE"""),"")</f>
        <v/>
      </c>
      <c r="L161" s="81" t="str">
        <f ca="1">IFERROR(__xludf.DUMMYFUNCTION("""COMPUTED_VALUE"""),"")</f>
        <v/>
      </c>
      <c r="M161" s="82"/>
      <c r="N161" s="83"/>
      <c r="O161" s="75" t="str">
        <f ca="1">IFERROR(__xludf.DUMMYFUNCTION("""COMPUTED_VALUE"""),"")</f>
        <v/>
      </c>
      <c r="P161" s="82"/>
      <c r="Q161" s="83"/>
      <c r="R161" s="75" t="str">
        <f ca="1">IFERROR(__xludf.DUMMYFUNCTION("""COMPUTED_VALUE"""),"")</f>
        <v/>
      </c>
      <c r="S161" s="82"/>
      <c r="T161" s="83"/>
      <c r="U161" s="75" t="str">
        <f ca="1">IFERROR(__xludf.DUMMYFUNCTION("""COMPUTED_VALUE"""),"")</f>
        <v/>
      </c>
      <c r="V161" s="82"/>
      <c r="W161" s="83"/>
      <c r="X161" s="75" t="str">
        <f ca="1">IFERROR(__xludf.DUMMYFUNCTION("""COMPUTED_VALUE"""),"")</f>
        <v/>
      </c>
      <c r="Y161" s="82"/>
      <c r="Z161" s="83"/>
      <c r="AA161" s="75" t="str">
        <f ca="1">IFERROR(__xludf.DUMMYFUNCTION("""COMPUTED_VALUE"""),"")</f>
        <v/>
      </c>
      <c r="AB161" s="82"/>
      <c r="AC161" s="83"/>
      <c r="AD161" s="75" t="str">
        <f ca="1">IFERROR(__xludf.DUMMYFUNCTION("""COMPUTED_VALUE"""),"")</f>
        <v/>
      </c>
      <c r="AE161" s="82"/>
      <c r="AF161" s="83"/>
      <c r="AG161" s="75" t="str">
        <f ca="1">IFERROR(__xludf.DUMMYFUNCTION("""COMPUTED_VALUE"""),"")</f>
        <v/>
      </c>
      <c r="AH161" s="82"/>
      <c r="AI161" s="83"/>
      <c r="AJ161" s="75" t="str">
        <f ca="1">IFERROR(__xludf.DUMMYFUNCTION("""COMPUTED_VALUE"""),"")</f>
        <v/>
      </c>
      <c r="AK161" s="82"/>
      <c r="AL161" s="83"/>
      <c r="AM161" s="75" t="str">
        <f ca="1">IFERROR(__xludf.DUMMYFUNCTION("""COMPUTED_VALUE"""),"")</f>
        <v/>
      </c>
      <c r="AN161" s="82"/>
      <c r="AO161" s="83"/>
      <c r="AP161" s="75" t="str">
        <f ca="1">IFERROR(__xludf.DUMMYFUNCTION("""COMPUTED_VALUE"""),"")</f>
        <v/>
      </c>
      <c r="AQ161" s="82"/>
      <c r="AR161" s="83"/>
      <c r="AS161" s="75" t="str">
        <f ca="1">IFERROR(__xludf.DUMMYFUNCTION("""COMPUTED_VALUE"""),"")</f>
        <v/>
      </c>
      <c r="AT161" s="82"/>
      <c r="AU161" s="83"/>
      <c r="AV161" s="75" t="str">
        <f ca="1">IFERROR(__xludf.DUMMYFUNCTION("""COMPUTED_VALUE"""),"")</f>
        <v/>
      </c>
      <c r="AW161" s="82"/>
      <c r="AX161" s="83"/>
      <c r="AY161" s="75" t="str">
        <f ca="1">IFERROR(__xludf.DUMMYFUNCTION("""COMPUTED_VALUE"""),"")</f>
        <v/>
      </c>
      <c r="AZ161" s="82"/>
      <c r="BA161" s="83"/>
      <c r="BB161" s="75" t="str">
        <f ca="1">IFERROR(__xludf.DUMMYFUNCTION("""COMPUTED_VALUE"""),"")</f>
        <v/>
      </c>
      <c r="BC161" s="82"/>
      <c r="BD161" s="83"/>
      <c r="BE161" s="75" t="str">
        <f ca="1">IFERROR(__xludf.DUMMYFUNCTION("""COMPUTED_VALUE"""),"")</f>
        <v/>
      </c>
      <c r="BF161" s="82"/>
      <c r="BG161" s="83"/>
      <c r="BH161" s="75" t="str">
        <f ca="1">IFERROR(__xludf.DUMMYFUNCTION("""COMPUTED_VALUE"""),"")</f>
        <v/>
      </c>
      <c r="BI161" s="46"/>
    </row>
    <row r="162" spans="1:61" ht="22.5" customHeight="1" x14ac:dyDescent="0.25">
      <c r="A162" s="46"/>
      <c r="B162" s="85"/>
      <c r="C162" s="75"/>
      <c r="D162" s="75"/>
      <c r="E162" s="75"/>
      <c r="F162" s="76"/>
      <c r="G162" s="77" t="str">
        <f ca="1">IFERROR(__xludf.DUMMYFUNCTION("""COMPUTED_VALUE"""),"")</f>
        <v/>
      </c>
      <c r="H162" s="78" t="str">
        <f ca="1">IFERROR(__xludf.DUMMYFUNCTION("""COMPUTED_VALUE"""),"")</f>
        <v/>
      </c>
      <c r="I162" s="79" t="str">
        <f ca="1">IFERROR(__xludf.DUMMYFUNCTION("""COMPUTED_VALUE"""),"")</f>
        <v/>
      </c>
      <c r="J162" s="264"/>
      <c r="K162" s="82" t="str">
        <f ca="1">IFERROR(__xludf.DUMMYFUNCTION("""COMPUTED_VALUE"""),"")</f>
        <v/>
      </c>
      <c r="L162" s="81" t="str">
        <f ca="1">IFERROR(__xludf.DUMMYFUNCTION("""COMPUTED_VALUE"""),"")</f>
        <v/>
      </c>
      <c r="M162" s="82"/>
      <c r="N162" s="83"/>
      <c r="O162" s="75" t="str">
        <f ca="1">IFERROR(__xludf.DUMMYFUNCTION("""COMPUTED_VALUE"""),"")</f>
        <v/>
      </c>
      <c r="P162" s="82"/>
      <c r="Q162" s="83"/>
      <c r="R162" s="75" t="str">
        <f ca="1">IFERROR(__xludf.DUMMYFUNCTION("""COMPUTED_VALUE"""),"")</f>
        <v/>
      </c>
      <c r="S162" s="82"/>
      <c r="T162" s="83"/>
      <c r="U162" s="75" t="str">
        <f ca="1">IFERROR(__xludf.DUMMYFUNCTION("""COMPUTED_VALUE"""),"")</f>
        <v/>
      </c>
      <c r="V162" s="82"/>
      <c r="W162" s="83"/>
      <c r="X162" s="75" t="str">
        <f ca="1">IFERROR(__xludf.DUMMYFUNCTION("""COMPUTED_VALUE"""),"")</f>
        <v/>
      </c>
      <c r="Y162" s="82"/>
      <c r="Z162" s="83"/>
      <c r="AA162" s="75" t="str">
        <f ca="1">IFERROR(__xludf.DUMMYFUNCTION("""COMPUTED_VALUE"""),"")</f>
        <v/>
      </c>
      <c r="AB162" s="82"/>
      <c r="AC162" s="83"/>
      <c r="AD162" s="75" t="str">
        <f ca="1">IFERROR(__xludf.DUMMYFUNCTION("""COMPUTED_VALUE"""),"")</f>
        <v/>
      </c>
      <c r="AE162" s="82"/>
      <c r="AF162" s="83"/>
      <c r="AG162" s="75" t="str">
        <f ca="1">IFERROR(__xludf.DUMMYFUNCTION("""COMPUTED_VALUE"""),"")</f>
        <v/>
      </c>
      <c r="AH162" s="82"/>
      <c r="AI162" s="83"/>
      <c r="AJ162" s="75" t="str">
        <f ca="1">IFERROR(__xludf.DUMMYFUNCTION("""COMPUTED_VALUE"""),"")</f>
        <v/>
      </c>
      <c r="AK162" s="82"/>
      <c r="AL162" s="83"/>
      <c r="AM162" s="75" t="str">
        <f ca="1">IFERROR(__xludf.DUMMYFUNCTION("""COMPUTED_VALUE"""),"")</f>
        <v/>
      </c>
      <c r="AN162" s="82"/>
      <c r="AO162" s="83"/>
      <c r="AP162" s="75" t="str">
        <f ca="1">IFERROR(__xludf.DUMMYFUNCTION("""COMPUTED_VALUE"""),"")</f>
        <v/>
      </c>
      <c r="AQ162" s="82"/>
      <c r="AR162" s="83"/>
      <c r="AS162" s="75" t="str">
        <f ca="1">IFERROR(__xludf.DUMMYFUNCTION("""COMPUTED_VALUE"""),"")</f>
        <v/>
      </c>
      <c r="AT162" s="82"/>
      <c r="AU162" s="83"/>
      <c r="AV162" s="75" t="str">
        <f ca="1">IFERROR(__xludf.DUMMYFUNCTION("""COMPUTED_VALUE"""),"")</f>
        <v/>
      </c>
      <c r="AW162" s="82"/>
      <c r="AX162" s="83"/>
      <c r="AY162" s="75" t="str">
        <f ca="1">IFERROR(__xludf.DUMMYFUNCTION("""COMPUTED_VALUE"""),"")</f>
        <v/>
      </c>
      <c r="AZ162" s="82"/>
      <c r="BA162" s="83"/>
      <c r="BB162" s="75" t="str">
        <f ca="1">IFERROR(__xludf.DUMMYFUNCTION("""COMPUTED_VALUE"""),"")</f>
        <v/>
      </c>
      <c r="BC162" s="82"/>
      <c r="BD162" s="83"/>
      <c r="BE162" s="75" t="str">
        <f ca="1">IFERROR(__xludf.DUMMYFUNCTION("""COMPUTED_VALUE"""),"")</f>
        <v/>
      </c>
      <c r="BF162" s="82"/>
      <c r="BG162" s="83"/>
      <c r="BH162" s="75" t="str">
        <f ca="1">IFERROR(__xludf.DUMMYFUNCTION("""COMPUTED_VALUE"""),"")</f>
        <v/>
      </c>
      <c r="BI162" s="46"/>
    </row>
    <row r="163" spans="1:61" ht="22.5" customHeight="1" x14ac:dyDescent="0.25">
      <c r="A163" s="46"/>
      <c r="B163" s="85"/>
      <c r="C163" s="75"/>
      <c r="D163" s="75"/>
      <c r="E163" s="75"/>
      <c r="F163" s="76"/>
      <c r="G163" s="77" t="str">
        <f ca="1">IFERROR(__xludf.DUMMYFUNCTION("""COMPUTED_VALUE"""),"")</f>
        <v/>
      </c>
      <c r="H163" s="78" t="str">
        <f ca="1">IFERROR(__xludf.DUMMYFUNCTION("""COMPUTED_VALUE"""),"")</f>
        <v/>
      </c>
      <c r="I163" s="79" t="str">
        <f ca="1">IFERROR(__xludf.DUMMYFUNCTION("""COMPUTED_VALUE"""),"")</f>
        <v/>
      </c>
      <c r="J163" s="264"/>
      <c r="K163" s="82" t="str">
        <f ca="1">IFERROR(__xludf.DUMMYFUNCTION("""COMPUTED_VALUE"""),"")</f>
        <v/>
      </c>
      <c r="L163" s="81" t="str">
        <f ca="1">IFERROR(__xludf.DUMMYFUNCTION("""COMPUTED_VALUE"""),"")</f>
        <v/>
      </c>
      <c r="M163" s="82"/>
      <c r="N163" s="83"/>
      <c r="O163" s="75" t="str">
        <f ca="1">IFERROR(__xludf.DUMMYFUNCTION("""COMPUTED_VALUE"""),"")</f>
        <v/>
      </c>
      <c r="P163" s="82"/>
      <c r="Q163" s="83"/>
      <c r="R163" s="75" t="str">
        <f ca="1">IFERROR(__xludf.DUMMYFUNCTION("""COMPUTED_VALUE"""),"")</f>
        <v/>
      </c>
      <c r="S163" s="82"/>
      <c r="T163" s="83"/>
      <c r="U163" s="75" t="str">
        <f ca="1">IFERROR(__xludf.DUMMYFUNCTION("""COMPUTED_VALUE"""),"")</f>
        <v/>
      </c>
      <c r="V163" s="82"/>
      <c r="W163" s="83"/>
      <c r="X163" s="75" t="str">
        <f ca="1">IFERROR(__xludf.DUMMYFUNCTION("""COMPUTED_VALUE"""),"")</f>
        <v/>
      </c>
      <c r="Y163" s="82"/>
      <c r="Z163" s="83"/>
      <c r="AA163" s="75" t="str">
        <f ca="1">IFERROR(__xludf.DUMMYFUNCTION("""COMPUTED_VALUE"""),"")</f>
        <v/>
      </c>
      <c r="AB163" s="82"/>
      <c r="AC163" s="83"/>
      <c r="AD163" s="75" t="str">
        <f ca="1">IFERROR(__xludf.DUMMYFUNCTION("""COMPUTED_VALUE"""),"")</f>
        <v/>
      </c>
      <c r="AE163" s="82"/>
      <c r="AF163" s="83"/>
      <c r="AG163" s="75" t="str">
        <f ca="1">IFERROR(__xludf.DUMMYFUNCTION("""COMPUTED_VALUE"""),"")</f>
        <v/>
      </c>
      <c r="AH163" s="82"/>
      <c r="AI163" s="83"/>
      <c r="AJ163" s="75" t="str">
        <f ca="1">IFERROR(__xludf.DUMMYFUNCTION("""COMPUTED_VALUE"""),"")</f>
        <v/>
      </c>
      <c r="AK163" s="82"/>
      <c r="AL163" s="83"/>
      <c r="AM163" s="75" t="str">
        <f ca="1">IFERROR(__xludf.DUMMYFUNCTION("""COMPUTED_VALUE"""),"")</f>
        <v/>
      </c>
      <c r="AN163" s="82"/>
      <c r="AO163" s="83"/>
      <c r="AP163" s="75" t="str">
        <f ca="1">IFERROR(__xludf.DUMMYFUNCTION("""COMPUTED_VALUE"""),"")</f>
        <v/>
      </c>
      <c r="AQ163" s="82"/>
      <c r="AR163" s="83"/>
      <c r="AS163" s="75" t="str">
        <f ca="1">IFERROR(__xludf.DUMMYFUNCTION("""COMPUTED_VALUE"""),"")</f>
        <v/>
      </c>
      <c r="AT163" s="82"/>
      <c r="AU163" s="83"/>
      <c r="AV163" s="75" t="str">
        <f ca="1">IFERROR(__xludf.DUMMYFUNCTION("""COMPUTED_VALUE"""),"")</f>
        <v/>
      </c>
      <c r="AW163" s="82"/>
      <c r="AX163" s="83"/>
      <c r="AY163" s="75" t="str">
        <f ca="1">IFERROR(__xludf.DUMMYFUNCTION("""COMPUTED_VALUE"""),"")</f>
        <v/>
      </c>
      <c r="AZ163" s="82"/>
      <c r="BA163" s="83"/>
      <c r="BB163" s="75" t="str">
        <f ca="1">IFERROR(__xludf.DUMMYFUNCTION("""COMPUTED_VALUE"""),"")</f>
        <v/>
      </c>
      <c r="BC163" s="82"/>
      <c r="BD163" s="83"/>
      <c r="BE163" s="75" t="str">
        <f ca="1">IFERROR(__xludf.DUMMYFUNCTION("""COMPUTED_VALUE"""),"")</f>
        <v/>
      </c>
      <c r="BF163" s="82"/>
      <c r="BG163" s="83"/>
      <c r="BH163" s="75" t="str">
        <f ca="1">IFERROR(__xludf.DUMMYFUNCTION("""COMPUTED_VALUE"""),"")</f>
        <v/>
      </c>
      <c r="BI163" s="46"/>
    </row>
    <row r="164" spans="1:61" ht="22.5" customHeight="1" x14ac:dyDescent="0.25">
      <c r="A164" s="46"/>
      <c r="B164" s="85"/>
      <c r="C164" s="75"/>
      <c r="D164" s="75"/>
      <c r="E164" s="75"/>
      <c r="F164" s="76"/>
      <c r="G164" s="77" t="str">
        <f ca="1">IFERROR(__xludf.DUMMYFUNCTION("""COMPUTED_VALUE"""),"")</f>
        <v/>
      </c>
      <c r="H164" s="78" t="str">
        <f ca="1">IFERROR(__xludf.DUMMYFUNCTION("""COMPUTED_VALUE"""),"")</f>
        <v/>
      </c>
      <c r="I164" s="79" t="str">
        <f ca="1">IFERROR(__xludf.DUMMYFUNCTION("""COMPUTED_VALUE"""),"")</f>
        <v/>
      </c>
      <c r="J164" s="264"/>
      <c r="K164" s="82" t="str">
        <f ca="1">IFERROR(__xludf.DUMMYFUNCTION("""COMPUTED_VALUE"""),"")</f>
        <v/>
      </c>
      <c r="L164" s="81" t="str">
        <f ca="1">IFERROR(__xludf.DUMMYFUNCTION("""COMPUTED_VALUE"""),"")</f>
        <v/>
      </c>
      <c r="M164" s="82"/>
      <c r="N164" s="83"/>
      <c r="O164" s="75" t="str">
        <f ca="1">IFERROR(__xludf.DUMMYFUNCTION("""COMPUTED_VALUE"""),"")</f>
        <v/>
      </c>
      <c r="P164" s="82"/>
      <c r="Q164" s="83"/>
      <c r="R164" s="75" t="str">
        <f ca="1">IFERROR(__xludf.DUMMYFUNCTION("""COMPUTED_VALUE"""),"")</f>
        <v/>
      </c>
      <c r="S164" s="82"/>
      <c r="T164" s="83"/>
      <c r="U164" s="75" t="str">
        <f ca="1">IFERROR(__xludf.DUMMYFUNCTION("""COMPUTED_VALUE"""),"")</f>
        <v/>
      </c>
      <c r="V164" s="82"/>
      <c r="W164" s="83"/>
      <c r="X164" s="75" t="str">
        <f ca="1">IFERROR(__xludf.DUMMYFUNCTION("""COMPUTED_VALUE"""),"")</f>
        <v/>
      </c>
      <c r="Y164" s="82"/>
      <c r="Z164" s="83"/>
      <c r="AA164" s="75" t="str">
        <f ca="1">IFERROR(__xludf.DUMMYFUNCTION("""COMPUTED_VALUE"""),"")</f>
        <v/>
      </c>
      <c r="AB164" s="82"/>
      <c r="AC164" s="83"/>
      <c r="AD164" s="75" t="str">
        <f ca="1">IFERROR(__xludf.DUMMYFUNCTION("""COMPUTED_VALUE"""),"")</f>
        <v/>
      </c>
      <c r="AE164" s="82"/>
      <c r="AF164" s="83"/>
      <c r="AG164" s="75" t="str">
        <f ca="1">IFERROR(__xludf.DUMMYFUNCTION("""COMPUTED_VALUE"""),"")</f>
        <v/>
      </c>
      <c r="AH164" s="82"/>
      <c r="AI164" s="83"/>
      <c r="AJ164" s="75" t="str">
        <f ca="1">IFERROR(__xludf.DUMMYFUNCTION("""COMPUTED_VALUE"""),"")</f>
        <v/>
      </c>
      <c r="AK164" s="82"/>
      <c r="AL164" s="83"/>
      <c r="AM164" s="75" t="str">
        <f ca="1">IFERROR(__xludf.DUMMYFUNCTION("""COMPUTED_VALUE"""),"")</f>
        <v/>
      </c>
      <c r="AN164" s="82"/>
      <c r="AO164" s="83"/>
      <c r="AP164" s="75" t="str">
        <f ca="1">IFERROR(__xludf.DUMMYFUNCTION("""COMPUTED_VALUE"""),"")</f>
        <v/>
      </c>
      <c r="AQ164" s="82"/>
      <c r="AR164" s="83"/>
      <c r="AS164" s="75" t="str">
        <f ca="1">IFERROR(__xludf.DUMMYFUNCTION("""COMPUTED_VALUE"""),"")</f>
        <v/>
      </c>
      <c r="AT164" s="82"/>
      <c r="AU164" s="83"/>
      <c r="AV164" s="75" t="str">
        <f ca="1">IFERROR(__xludf.DUMMYFUNCTION("""COMPUTED_VALUE"""),"")</f>
        <v/>
      </c>
      <c r="AW164" s="82"/>
      <c r="AX164" s="83"/>
      <c r="AY164" s="75" t="str">
        <f ca="1">IFERROR(__xludf.DUMMYFUNCTION("""COMPUTED_VALUE"""),"")</f>
        <v/>
      </c>
      <c r="AZ164" s="82"/>
      <c r="BA164" s="83"/>
      <c r="BB164" s="75" t="str">
        <f ca="1">IFERROR(__xludf.DUMMYFUNCTION("""COMPUTED_VALUE"""),"")</f>
        <v/>
      </c>
      <c r="BC164" s="82"/>
      <c r="BD164" s="83"/>
      <c r="BE164" s="75" t="str">
        <f ca="1">IFERROR(__xludf.DUMMYFUNCTION("""COMPUTED_VALUE"""),"")</f>
        <v/>
      </c>
      <c r="BF164" s="82"/>
      <c r="BG164" s="83"/>
      <c r="BH164" s="75" t="str">
        <f ca="1">IFERROR(__xludf.DUMMYFUNCTION("""COMPUTED_VALUE"""),"")</f>
        <v/>
      </c>
      <c r="BI164" s="46"/>
    </row>
    <row r="165" spans="1:61" ht="22.5" customHeight="1" x14ac:dyDescent="0.25">
      <c r="A165" s="46"/>
      <c r="B165" s="85"/>
      <c r="C165" s="75"/>
      <c r="D165" s="75"/>
      <c r="E165" s="75"/>
      <c r="F165" s="76"/>
      <c r="G165" s="77" t="str">
        <f ca="1">IFERROR(__xludf.DUMMYFUNCTION("""COMPUTED_VALUE"""),"")</f>
        <v/>
      </c>
      <c r="H165" s="78" t="str">
        <f ca="1">IFERROR(__xludf.DUMMYFUNCTION("""COMPUTED_VALUE"""),"")</f>
        <v/>
      </c>
      <c r="I165" s="79" t="str">
        <f ca="1">IFERROR(__xludf.DUMMYFUNCTION("""COMPUTED_VALUE"""),"")</f>
        <v/>
      </c>
      <c r="J165" s="264"/>
      <c r="K165" s="82" t="str">
        <f ca="1">IFERROR(__xludf.DUMMYFUNCTION("""COMPUTED_VALUE"""),"")</f>
        <v/>
      </c>
      <c r="L165" s="81" t="str">
        <f ca="1">IFERROR(__xludf.DUMMYFUNCTION("""COMPUTED_VALUE"""),"")</f>
        <v/>
      </c>
      <c r="M165" s="82"/>
      <c r="N165" s="83"/>
      <c r="O165" s="75" t="str">
        <f ca="1">IFERROR(__xludf.DUMMYFUNCTION("""COMPUTED_VALUE"""),"")</f>
        <v/>
      </c>
      <c r="P165" s="82"/>
      <c r="Q165" s="83"/>
      <c r="R165" s="75" t="str">
        <f ca="1">IFERROR(__xludf.DUMMYFUNCTION("""COMPUTED_VALUE"""),"")</f>
        <v/>
      </c>
      <c r="S165" s="82"/>
      <c r="T165" s="83"/>
      <c r="U165" s="75" t="str">
        <f ca="1">IFERROR(__xludf.DUMMYFUNCTION("""COMPUTED_VALUE"""),"")</f>
        <v/>
      </c>
      <c r="V165" s="82"/>
      <c r="W165" s="83"/>
      <c r="X165" s="75" t="str">
        <f ca="1">IFERROR(__xludf.DUMMYFUNCTION("""COMPUTED_VALUE"""),"")</f>
        <v/>
      </c>
      <c r="Y165" s="82"/>
      <c r="Z165" s="83"/>
      <c r="AA165" s="75" t="str">
        <f ca="1">IFERROR(__xludf.DUMMYFUNCTION("""COMPUTED_VALUE"""),"")</f>
        <v/>
      </c>
      <c r="AB165" s="82"/>
      <c r="AC165" s="83"/>
      <c r="AD165" s="75" t="str">
        <f ca="1">IFERROR(__xludf.DUMMYFUNCTION("""COMPUTED_VALUE"""),"")</f>
        <v/>
      </c>
      <c r="AE165" s="82"/>
      <c r="AF165" s="83"/>
      <c r="AG165" s="75" t="str">
        <f ca="1">IFERROR(__xludf.DUMMYFUNCTION("""COMPUTED_VALUE"""),"")</f>
        <v/>
      </c>
      <c r="AH165" s="82"/>
      <c r="AI165" s="83"/>
      <c r="AJ165" s="75" t="str">
        <f ca="1">IFERROR(__xludf.DUMMYFUNCTION("""COMPUTED_VALUE"""),"")</f>
        <v/>
      </c>
      <c r="AK165" s="82"/>
      <c r="AL165" s="83"/>
      <c r="AM165" s="75" t="str">
        <f ca="1">IFERROR(__xludf.DUMMYFUNCTION("""COMPUTED_VALUE"""),"")</f>
        <v/>
      </c>
      <c r="AN165" s="82"/>
      <c r="AO165" s="83"/>
      <c r="AP165" s="75" t="str">
        <f ca="1">IFERROR(__xludf.DUMMYFUNCTION("""COMPUTED_VALUE"""),"")</f>
        <v/>
      </c>
      <c r="AQ165" s="82"/>
      <c r="AR165" s="83"/>
      <c r="AS165" s="75" t="str">
        <f ca="1">IFERROR(__xludf.DUMMYFUNCTION("""COMPUTED_VALUE"""),"")</f>
        <v/>
      </c>
      <c r="AT165" s="82"/>
      <c r="AU165" s="83"/>
      <c r="AV165" s="75" t="str">
        <f ca="1">IFERROR(__xludf.DUMMYFUNCTION("""COMPUTED_VALUE"""),"")</f>
        <v/>
      </c>
      <c r="AW165" s="82"/>
      <c r="AX165" s="83"/>
      <c r="AY165" s="75" t="str">
        <f ca="1">IFERROR(__xludf.DUMMYFUNCTION("""COMPUTED_VALUE"""),"")</f>
        <v/>
      </c>
      <c r="AZ165" s="82"/>
      <c r="BA165" s="83"/>
      <c r="BB165" s="75" t="str">
        <f ca="1">IFERROR(__xludf.DUMMYFUNCTION("""COMPUTED_VALUE"""),"")</f>
        <v/>
      </c>
      <c r="BC165" s="82"/>
      <c r="BD165" s="83"/>
      <c r="BE165" s="75" t="str">
        <f ca="1">IFERROR(__xludf.DUMMYFUNCTION("""COMPUTED_VALUE"""),"")</f>
        <v/>
      </c>
      <c r="BF165" s="82"/>
      <c r="BG165" s="83"/>
      <c r="BH165" s="75" t="str">
        <f ca="1">IFERROR(__xludf.DUMMYFUNCTION("""COMPUTED_VALUE"""),"")</f>
        <v/>
      </c>
      <c r="BI165" s="46"/>
    </row>
    <row r="166" spans="1:61" ht="22.5" customHeight="1" x14ac:dyDescent="0.25">
      <c r="A166" s="46"/>
      <c r="B166" s="85"/>
      <c r="C166" s="75"/>
      <c r="D166" s="75"/>
      <c r="E166" s="75"/>
      <c r="F166" s="76"/>
      <c r="G166" s="77" t="str">
        <f ca="1">IFERROR(__xludf.DUMMYFUNCTION("""COMPUTED_VALUE"""),"")</f>
        <v/>
      </c>
      <c r="H166" s="78" t="str">
        <f ca="1">IFERROR(__xludf.DUMMYFUNCTION("""COMPUTED_VALUE"""),"")</f>
        <v/>
      </c>
      <c r="I166" s="79" t="str">
        <f ca="1">IFERROR(__xludf.DUMMYFUNCTION("""COMPUTED_VALUE"""),"")</f>
        <v/>
      </c>
      <c r="J166" s="264"/>
      <c r="K166" s="82" t="str">
        <f ca="1">IFERROR(__xludf.DUMMYFUNCTION("""COMPUTED_VALUE"""),"")</f>
        <v/>
      </c>
      <c r="L166" s="81" t="str">
        <f ca="1">IFERROR(__xludf.DUMMYFUNCTION("""COMPUTED_VALUE"""),"")</f>
        <v/>
      </c>
      <c r="M166" s="82"/>
      <c r="N166" s="83"/>
      <c r="O166" s="75" t="str">
        <f ca="1">IFERROR(__xludf.DUMMYFUNCTION("""COMPUTED_VALUE"""),"")</f>
        <v/>
      </c>
      <c r="P166" s="82"/>
      <c r="Q166" s="83"/>
      <c r="R166" s="75" t="str">
        <f ca="1">IFERROR(__xludf.DUMMYFUNCTION("""COMPUTED_VALUE"""),"")</f>
        <v/>
      </c>
      <c r="S166" s="82"/>
      <c r="T166" s="83"/>
      <c r="U166" s="75" t="str">
        <f ca="1">IFERROR(__xludf.DUMMYFUNCTION("""COMPUTED_VALUE"""),"")</f>
        <v/>
      </c>
      <c r="V166" s="82"/>
      <c r="W166" s="83"/>
      <c r="X166" s="75" t="str">
        <f ca="1">IFERROR(__xludf.DUMMYFUNCTION("""COMPUTED_VALUE"""),"")</f>
        <v/>
      </c>
      <c r="Y166" s="82"/>
      <c r="Z166" s="83"/>
      <c r="AA166" s="75" t="str">
        <f ca="1">IFERROR(__xludf.DUMMYFUNCTION("""COMPUTED_VALUE"""),"")</f>
        <v/>
      </c>
      <c r="AB166" s="82"/>
      <c r="AC166" s="83"/>
      <c r="AD166" s="75" t="str">
        <f ca="1">IFERROR(__xludf.DUMMYFUNCTION("""COMPUTED_VALUE"""),"")</f>
        <v/>
      </c>
      <c r="AE166" s="82"/>
      <c r="AF166" s="83"/>
      <c r="AG166" s="75" t="str">
        <f ca="1">IFERROR(__xludf.DUMMYFUNCTION("""COMPUTED_VALUE"""),"")</f>
        <v/>
      </c>
      <c r="AH166" s="82"/>
      <c r="AI166" s="83"/>
      <c r="AJ166" s="75" t="str">
        <f ca="1">IFERROR(__xludf.DUMMYFUNCTION("""COMPUTED_VALUE"""),"")</f>
        <v/>
      </c>
      <c r="AK166" s="82"/>
      <c r="AL166" s="83"/>
      <c r="AM166" s="75" t="str">
        <f ca="1">IFERROR(__xludf.DUMMYFUNCTION("""COMPUTED_VALUE"""),"")</f>
        <v/>
      </c>
      <c r="AN166" s="82"/>
      <c r="AO166" s="83"/>
      <c r="AP166" s="75" t="str">
        <f ca="1">IFERROR(__xludf.DUMMYFUNCTION("""COMPUTED_VALUE"""),"")</f>
        <v/>
      </c>
      <c r="AQ166" s="82"/>
      <c r="AR166" s="83"/>
      <c r="AS166" s="75" t="str">
        <f ca="1">IFERROR(__xludf.DUMMYFUNCTION("""COMPUTED_VALUE"""),"")</f>
        <v/>
      </c>
      <c r="AT166" s="82"/>
      <c r="AU166" s="83"/>
      <c r="AV166" s="75" t="str">
        <f ca="1">IFERROR(__xludf.DUMMYFUNCTION("""COMPUTED_VALUE"""),"")</f>
        <v/>
      </c>
      <c r="AW166" s="82"/>
      <c r="AX166" s="83"/>
      <c r="AY166" s="75" t="str">
        <f ca="1">IFERROR(__xludf.DUMMYFUNCTION("""COMPUTED_VALUE"""),"")</f>
        <v/>
      </c>
      <c r="AZ166" s="82"/>
      <c r="BA166" s="83"/>
      <c r="BB166" s="75" t="str">
        <f ca="1">IFERROR(__xludf.DUMMYFUNCTION("""COMPUTED_VALUE"""),"")</f>
        <v/>
      </c>
      <c r="BC166" s="82"/>
      <c r="BD166" s="83"/>
      <c r="BE166" s="75" t="str">
        <f ca="1">IFERROR(__xludf.DUMMYFUNCTION("""COMPUTED_VALUE"""),"")</f>
        <v/>
      </c>
      <c r="BF166" s="82"/>
      <c r="BG166" s="83"/>
      <c r="BH166" s="75" t="str">
        <f ca="1">IFERROR(__xludf.DUMMYFUNCTION("""COMPUTED_VALUE"""),"")</f>
        <v/>
      </c>
      <c r="BI166" s="46"/>
    </row>
    <row r="167" spans="1:61" ht="22.5" customHeight="1" x14ac:dyDescent="0.25">
      <c r="A167" s="46"/>
      <c r="B167" s="85"/>
      <c r="C167" s="75"/>
      <c r="D167" s="75"/>
      <c r="E167" s="75"/>
      <c r="F167" s="76"/>
      <c r="G167" s="77" t="str">
        <f ca="1">IFERROR(__xludf.DUMMYFUNCTION("""COMPUTED_VALUE"""),"")</f>
        <v/>
      </c>
      <c r="H167" s="78" t="str">
        <f ca="1">IFERROR(__xludf.DUMMYFUNCTION("""COMPUTED_VALUE"""),"")</f>
        <v/>
      </c>
      <c r="I167" s="79" t="str">
        <f ca="1">IFERROR(__xludf.DUMMYFUNCTION("""COMPUTED_VALUE"""),"")</f>
        <v/>
      </c>
      <c r="J167" s="264"/>
      <c r="K167" s="82" t="str">
        <f ca="1">IFERROR(__xludf.DUMMYFUNCTION("""COMPUTED_VALUE"""),"")</f>
        <v/>
      </c>
      <c r="L167" s="81" t="str">
        <f ca="1">IFERROR(__xludf.DUMMYFUNCTION("""COMPUTED_VALUE"""),"")</f>
        <v/>
      </c>
      <c r="M167" s="82"/>
      <c r="N167" s="83"/>
      <c r="O167" s="75" t="str">
        <f ca="1">IFERROR(__xludf.DUMMYFUNCTION("""COMPUTED_VALUE"""),"")</f>
        <v/>
      </c>
      <c r="P167" s="82"/>
      <c r="Q167" s="83"/>
      <c r="R167" s="75" t="str">
        <f ca="1">IFERROR(__xludf.DUMMYFUNCTION("""COMPUTED_VALUE"""),"")</f>
        <v/>
      </c>
      <c r="S167" s="82"/>
      <c r="T167" s="83"/>
      <c r="U167" s="75" t="str">
        <f ca="1">IFERROR(__xludf.DUMMYFUNCTION("""COMPUTED_VALUE"""),"")</f>
        <v/>
      </c>
      <c r="V167" s="82"/>
      <c r="W167" s="83"/>
      <c r="X167" s="75" t="str">
        <f ca="1">IFERROR(__xludf.DUMMYFUNCTION("""COMPUTED_VALUE"""),"")</f>
        <v/>
      </c>
      <c r="Y167" s="82"/>
      <c r="Z167" s="83"/>
      <c r="AA167" s="75" t="str">
        <f ca="1">IFERROR(__xludf.DUMMYFUNCTION("""COMPUTED_VALUE"""),"")</f>
        <v/>
      </c>
      <c r="AB167" s="82"/>
      <c r="AC167" s="83"/>
      <c r="AD167" s="75" t="str">
        <f ca="1">IFERROR(__xludf.DUMMYFUNCTION("""COMPUTED_VALUE"""),"")</f>
        <v/>
      </c>
      <c r="AE167" s="82"/>
      <c r="AF167" s="83"/>
      <c r="AG167" s="75" t="str">
        <f ca="1">IFERROR(__xludf.DUMMYFUNCTION("""COMPUTED_VALUE"""),"")</f>
        <v/>
      </c>
      <c r="AH167" s="82"/>
      <c r="AI167" s="83"/>
      <c r="AJ167" s="75" t="str">
        <f ca="1">IFERROR(__xludf.DUMMYFUNCTION("""COMPUTED_VALUE"""),"")</f>
        <v/>
      </c>
      <c r="AK167" s="82"/>
      <c r="AL167" s="83"/>
      <c r="AM167" s="75" t="str">
        <f ca="1">IFERROR(__xludf.DUMMYFUNCTION("""COMPUTED_VALUE"""),"")</f>
        <v/>
      </c>
      <c r="AN167" s="82"/>
      <c r="AO167" s="83"/>
      <c r="AP167" s="75" t="str">
        <f ca="1">IFERROR(__xludf.DUMMYFUNCTION("""COMPUTED_VALUE"""),"")</f>
        <v/>
      </c>
      <c r="AQ167" s="82"/>
      <c r="AR167" s="83"/>
      <c r="AS167" s="75" t="str">
        <f ca="1">IFERROR(__xludf.DUMMYFUNCTION("""COMPUTED_VALUE"""),"")</f>
        <v/>
      </c>
      <c r="AT167" s="82"/>
      <c r="AU167" s="83"/>
      <c r="AV167" s="75" t="str">
        <f ca="1">IFERROR(__xludf.DUMMYFUNCTION("""COMPUTED_VALUE"""),"")</f>
        <v/>
      </c>
      <c r="AW167" s="82"/>
      <c r="AX167" s="83"/>
      <c r="AY167" s="75" t="str">
        <f ca="1">IFERROR(__xludf.DUMMYFUNCTION("""COMPUTED_VALUE"""),"")</f>
        <v/>
      </c>
      <c r="AZ167" s="82"/>
      <c r="BA167" s="83"/>
      <c r="BB167" s="75" t="str">
        <f ca="1">IFERROR(__xludf.DUMMYFUNCTION("""COMPUTED_VALUE"""),"")</f>
        <v/>
      </c>
      <c r="BC167" s="82"/>
      <c r="BD167" s="83"/>
      <c r="BE167" s="75" t="str">
        <f ca="1">IFERROR(__xludf.DUMMYFUNCTION("""COMPUTED_VALUE"""),"")</f>
        <v/>
      </c>
      <c r="BF167" s="82"/>
      <c r="BG167" s="83"/>
      <c r="BH167" s="75" t="str">
        <f ca="1">IFERROR(__xludf.DUMMYFUNCTION("""COMPUTED_VALUE"""),"")</f>
        <v/>
      </c>
      <c r="BI167" s="46"/>
    </row>
    <row r="168" spans="1:61" ht="22.5" customHeight="1" x14ac:dyDescent="0.25">
      <c r="A168" s="46"/>
      <c r="B168" s="85"/>
      <c r="C168" s="75"/>
      <c r="D168" s="75"/>
      <c r="E168" s="75"/>
      <c r="F168" s="76"/>
      <c r="G168" s="77" t="str">
        <f ca="1">IFERROR(__xludf.DUMMYFUNCTION("""COMPUTED_VALUE"""),"")</f>
        <v/>
      </c>
      <c r="H168" s="78" t="str">
        <f ca="1">IFERROR(__xludf.DUMMYFUNCTION("""COMPUTED_VALUE"""),"")</f>
        <v/>
      </c>
      <c r="I168" s="79" t="str">
        <f ca="1">IFERROR(__xludf.DUMMYFUNCTION("""COMPUTED_VALUE"""),"")</f>
        <v/>
      </c>
      <c r="J168" s="264"/>
      <c r="K168" s="82" t="str">
        <f ca="1">IFERROR(__xludf.DUMMYFUNCTION("""COMPUTED_VALUE"""),"")</f>
        <v/>
      </c>
      <c r="L168" s="81" t="str">
        <f ca="1">IFERROR(__xludf.DUMMYFUNCTION("""COMPUTED_VALUE"""),"")</f>
        <v/>
      </c>
      <c r="M168" s="82"/>
      <c r="N168" s="83"/>
      <c r="O168" s="75" t="str">
        <f ca="1">IFERROR(__xludf.DUMMYFUNCTION("""COMPUTED_VALUE"""),"")</f>
        <v/>
      </c>
      <c r="P168" s="82"/>
      <c r="Q168" s="83"/>
      <c r="R168" s="75" t="str">
        <f ca="1">IFERROR(__xludf.DUMMYFUNCTION("""COMPUTED_VALUE"""),"")</f>
        <v/>
      </c>
      <c r="S168" s="82"/>
      <c r="T168" s="83"/>
      <c r="U168" s="75" t="str">
        <f ca="1">IFERROR(__xludf.DUMMYFUNCTION("""COMPUTED_VALUE"""),"")</f>
        <v/>
      </c>
      <c r="V168" s="82"/>
      <c r="W168" s="83"/>
      <c r="X168" s="75" t="str">
        <f ca="1">IFERROR(__xludf.DUMMYFUNCTION("""COMPUTED_VALUE"""),"")</f>
        <v/>
      </c>
      <c r="Y168" s="82"/>
      <c r="Z168" s="83"/>
      <c r="AA168" s="75" t="str">
        <f ca="1">IFERROR(__xludf.DUMMYFUNCTION("""COMPUTED_VALUE"""),"")</f>
        <v/>
      </c>
      <c r="AB168" s="82"/>
      <c r="AC168" s="83"/>
      <c r="AD168" s="75" t="str">
        <f ca="1">IFERROR(__xludf.DUMMYFUNCTION("""COMPUTED_VALUE"""),"")</f>
        <v/>
      </c>
      <c r="AE168" s="82"/>
      <c r="AF168" s="83"/>
      <c r="AG168" s="75" t="str">
        <f ca="1">IFERROR(__xludf.DUMMYFUNCTION("""COMPUTED_VALUE"""),"")</f>
        <v/>
      </c>
      <c r="AH168" s="82"/>
      <c r="AI168" s="83"/>
      <c r="AJ168" s="75" t="str">
        <f ca="1">IFERROR(__xludf.DUMMYFUNCTION("""COMPUTED_VALUE"""),"")</f>
        <v/>
      </c>
      <c r="AK168" s="82"/>
      <c r="AL168" s="83"/>
      <c r="AM168" s="75" t="str">
        <f ca="1">IFERROR(__xludf.DUMMYFUNCTION("""COMPUTED_VALUE"""),"")</f>
        <v/>
      </c>
      <c r="AN168" s="82"/>
      <c r="AO168" s="83"/>
      <c r="AP168" s="75" t="str">
        <f ca="1">IFERROR(__xludf.DUMMYFUNCTION("""COMPUTED_VALUE"""),"")</f>
        <v/>
      </c>
      <c r="AQ168" s="82"/>
      <c r="AR168" s="83"/>
      <c r="AS168" s="75" t="str">
        <f ca="1">IFERROR(__xludf.DUMMYFUNCTION("""COMPUTED_VALUE"""),"")</f>
        <v/>
      </c>
      <c r="AT168" s="82"/>
      <c r="AU168" s="83"/>
      <c r="AV168" s="75" t="str">
        <f ca="1">IFERROR(__xludf.DUMMYFUNCTION("""COMPUTED_VALUE"""),"")</f>
        <v/>
      </c>
      <c r="AW168" s="82"/>
      <c r="AX168" s="83"/>
      <c r="AY168" s="75" t="str">
        <f ca="1">IFERROR(__xludf.DUMMYFUNCTION("""COMPUTED_VALUE"""),"")</f>
        <v/>
      </c>
      <c r="AZ168" s="82"/>
      <c r="BA168" s="83"/>
      <c r="BB168" s="75" t="str">
        <f ca="1">IFERROR(__xludf.DUMMYFUNCTION("""COMPUTED_VALUE"""),"")</f>
        <v/>
      </c>
      <c r="BC168" s="82"/>
      <c r="BD168" s="83"/>
      <c r="BE168" s="75" t="str">
        <f ca="1">IFERROR(__xludf.DUMMYFUNCTION("""COMPUTED_VALUE"""),"")</f>
        <v/>
      </c>
      <c r="BF168" s="82"/>
      <c r="BG168" s="83"/>
      <c r="BH168" s="75" t="str">
        <f ca="1">IFERROR(__xludf.DUMMYFUNCTION("""COMPUTED_VALUE"""),"")</f>
        <v/>
      </c>
      <c r="BI168" s="46"/>
    </row>
    <row r="169" spans="1:61" ht="22.5" customHeight="1" x14ac:dyDescent="0.25">
      <c r="A169" s="46"/>
      <c r="B169" s="85"/>
      <c r="C169" s="75"/>
      <c r="D169" s="75"/>
      <c r="E169" s="75"/>
      <c r="F169" s="76"/>
      <c r="G169" s="77" t="str">
        <f ca="1">IFERROR(__xludf.DUMMYFUNCTION("""COMPUTED_VALUE"""),"")</f>
        <v/>
      </c>
      <c r="H169" s="78" t="str">
        <f ca="1">IFERROR(__xludf.DUMMYFUNCTION("""COMPUTED_VALUE"""),"")</f>
        <v/>
      </c>
      <c r="I169" s="79" t="str">
        <f ca="1">IFERROR(__xludf.DUMMYFUNCTION("""COMPUTED_VALUE"""),"")</f>
        <v/>
      </c>
      <c r="J169" s="264"/>
      <c r="K169" s="82" t="str">
        <f ca="1">IFERROR(__xludf.DUMMYFUNCTION("""COMPUTED_VALUE"""),"")</f>
        <v/>
      </c>
      <c r="L169" s="81" t="str">
        <f ca="1">IFERROR(__xludf.DUMMYFUNCTION("""COMPUTED_VALUE"""),"")</f>
        <v/>
      </c>
      <c r="M169" s="82"/>
      <c r="N169" s="83"/>
      <c r="O169" s="75" t="str">
        <f ca="1">IFERROR(__xludf.DUMMYFUNCTION("""COMPUTED_VALUE"""),"")</f>
        <v/>
      </c>
      <c r="P169" s="82"/>
      <c r="Q169" s="83"/>
      <c r="R169" s="75" t="str">
        <f ca="1">IFERROR(__xludf.DUMMYFUNCTION("""COMPUTED_VALUE"""),"")</f>
        <v/>
      </c>
      <c r="S169" s="82"/>
      <c r="T169" s="83"/>
      <c r="U169" s="75" t="str">
        <f ca="1">IFERROR(__xludf.DUMMYFUNCTION("""COMPUTED_VALUE"""),"")</f>
        <v/>
      </c>
      <c r="V169" s="82"/>
      <c r="W169" s="83"/>
      <c r="X169" s="75" t="str">
        <f ca="1">IFERROR(__xludf.DUMMYFUNCTION("""COMPUTED_VALUE"""),"")</f>
        <v/>
      </c>
      <c r="Y169" s="82"/>
      <c r="Z169" s="83"/>
      <c r="AA169" s="75" t="str">
        <f ca="1">IFERROR(__xludf.DUMMYFUNCTION("""COMPUTED_VALUE"""),"")</f>
        <v/>
      </c>
      <c r="AB169" s="82"/>
      <c r="AC169" s="83"/>
      <c r="AD169" s="75" t="str">
        <f ca="1">IFERROR(__xludf.DUMMYFUNCTION("""COMPUTED_VALUE"""),"")</f>
        <v/>
      </c>
      <c r="AE169" s="82"/>
      <c r="AF169" s="83"/>
      <c r="AG169" s="75" t="str">
        <f ca="1">IFERROR(__xludf.DUMMYFUNCTION("""COMPUTED_VALUE"""),"")</f>
        <v/>
      </c>
      <c r="AH169" s="82"/>
      <c r="AI169" s="83"/>
      <c r="AJ169" s="75" t="str">
        <f ca="1">IFERROR(__xludf.DUMMYFUNCTION("""COMPUTED_VALUE"""),"")</f>
        <v/>
      </c>
      <c r="AK169" s="82"/>
      <c r="AL169" s="83"/>
      <c r="AM169" s="75" t="str">
        <f ca="1">IFERROR(__xludf.DUMMYFUNCTION("""COMPUTED_VALUE"""),"")</f>
        <v/>
      </c>
      <c r="AN169" s="82"/>
      <c r="AO169" s="83"/>
      <c r="AP169" s="75" t="str">
        <f ca="1">IFERROR(__xludf.DUMMYFUNCTION("""COMPUTED_VALUE"""),"")</f>
        <v/>
      </c>
      <c r="AQ169" s="82"/>
      <c r="AR169" s="83"/>
      <c r="AS169" s="75" t="str">
        <f ca="1">IFERROR(__xludf.DUMMYFUNCTION("""COMPUTED_VALUE"""),"")</f>
        <v/>
      </c>
      <c r="AT169" s="82"/>
      <c r="AU169" s="83"/>
      <c r="AV169" s="75" t="str">
        <f ca="1">IFERROR(__xludf.DUMMYFUNCTION("""COMPUTED_VALUE"""),"")</f>
        <v/>
      </c>
      <c r="AW169" s="82"/>
      <c r="AX169" s="83"/>
      <c r="AY169" s="75" t="str">
        <f ca="1">IFERROR(__xludf.DUMMYFUNCTION("""COMPUTED_VALUE"""),"")</f>
        <v/>
      </c>
      <c r="AZ169" s="82"/>
      <c r="BA169" s="83"/>
      <c r="BB169" s="75" t="str">
        <f ca="1">IFERROR(__xludf.DUMMYFUNCTION("""COMPUTED_VALUE"""),"")</f>
        <v/>
      </c>
      <c r="BC169" s="82"/>
      <c r="BD169" s="83"/>
      <c r="BE169" s="75" t="str">
        <f ca="1">IFERROR(__xludf.DUMMYFUNCTION("""COMPUTED_VALUE"""),"")</f>
        <v/>
      </c>
      <c r="BF169" s="82"/>
      <c r="BG169" s="83"/>
      <c r="BH169" s="75" t="str">
        <f ca="1">IFERROR(__xludf.DUMMYFUNCTION("""COMPUTED_VALUE"""),"")</f>
        <v/>
      </c>
      <c r="BI169" s="46"/>
    </row>
    <row r="170" spans="1:61" ht="22.5" customHeight="1" x14ac:dyDescent="0.25">
      <c r="A170" s="46"/>
      <c r="B170" s="85"/>
      <c r="C170" s="75"/>
      <c r="D170" s="75"/>
      <c r="E170" s="75"/>
      <c r="F170" s="76"/>
      <c r="G170" s="77" t="str">
        <f ca="1">IFERROR(__xludf.DUMMYFUNCTION("""COMPUTED_VALUE"""),"")</f>
        <v/>
      </c>
      <c r="H170" s="78" t="str">
        <f ca="1">IFERROR(__xludf.DUMMYFUNCTION("""COMPUTED_VALUE"""),"")</f>
        <v/>
      </c>
      <c r="I170" s="79" t="str">
        <f ca="1">IFERROR(__xludf.DUMMYFUNCTION("""COMPUTED_VALUE"""),"")</f>
        <v/>
      </c>
      <c r="J170" s="264"/>
      <c r="K170" s="82" t="str">
        <f ca="1">IFERROR(__xludf.DUMMYFUNCTION("""COMPUTED_VALUE"""),"")</f>
        <v/>
      </c>
      <c r="L170" s="81" t="str">
        <f ca="1">IFERROR(__xludf.DUMMYFUNCTION("""COMPUTED_VALUE"""),"")</f>
        <v/>
      </c>
      <c r="M170" s="82"/>
      <c r="N170" s="83"/>
      <c r="O170" s="75" t="str">
        <f ca="1">IFERROR(__xludf.DUMMYFUNCTION("""COMPUTED_VALUE"""),"")</f>
        <v/>
      </c>
      <c r="P170" s="82"/>
      <c r="Q170" s="83"/>
      <c r="R170" s="75" t="str">
        <f ca="1">IFERROR(__xludf.DUMMYFUNCTION("""COMPUTED_VALUE"""),"")</f>
        <v/>
      </c>
      <c r="S170" s="82"/>
      <c r="T170" s="83"/>
      <c r="U170" s="75" t="str">
        <f ca="1">IFERROR(__xludf.DUMMYFUNCTION("""COMPUTED_VALUE"""),"")</f>
        <v/>
      </c>
      <c r="V170" s="82"/>
      <c r="W170" s="83"/>
      <c r="X170" s="75" t="str">
        <f ca="1">IFERROR(__xludf.DUMMYFUNCTION("""COMPUTED_VALUE"""),"")</f>
        <v/>
      </c>
      <c r="Y170" s="82"/>
      <c r="Z170" s="83"/>
      <c r="AA170" s="75" t="str">
        <f ca="1">IFERROR(__xludf.DUMMYFUNCTION("""COMPUTED_VALUE"""),"")</f>
        <v/>
      </c>
      <c r="AB170" s="82"/>
      <c r="AC170" s="83"/>
      <c r="AD170" s="75" t="str">
        <f ca="1">IFERROR(__xludf.DUMMYFUNCTION("""COMPUTED_VALUE"""),"")</f>
        <v/>
      </c>
      <c r="AE170" s="82"/>
      <c r="AF170" s="83"/>
      <c r="AG170" s="75" t="str">
        <f ca="1">IFERROR(__xludf.DUMMYFUNCTION("""COMPUTED_VALUE"""),"")</f>
        <v/>
      </c>
      <c r="AH170" s="82"/>
      <c r="AI170" s="83"/>
      <c r="AJ170" s="75" t="str">
        <f ca="1">IFERROR(__xludf.DUMMYFUNCTION("""COMPUTED_VALUE"""),"")</f>
        <v/>
      </c>
      <c r="AK170" s="82"/>
      <c r="AL170" s="83"/>
      <c r="AM170" s="75" t="str">
        <f ca="1">IFERROR(__xludf.DUMMYFUNCTION("""COMPUTED_VALUE"""),"")</f>
        <v/>
      </c>
      <c r="AN170" s="82"/>
      <c r="AO170" s="83"/>
      <c r="AP170" s="75" t="str">
        <f ca="1">IFERROR(__xludf.DUMMYFUNCTION("""COMPUTED_VALUE"""),"")</f>
        <v/>
      </c>
      <c r="AQ170" s="82"/>
      <c r="AR170" s="83"/>
      <c r="AS170" s="75" t="str">
        <f ca="1">IFERROR(__xludf.DUMMYFUNCTION("""COMPUTED_VALUE"""),"")</f>
        <v/>
      </c>
      <c r="AT170" s="82"/>
      <c r="AU170" s="83"/>
      <c r="AV170" s="75" t="str">
        <f ca="1">IFERROR(__xludf.DUMMYFUNCTION("""COMPUTED_VALUE"""),"")</f>
        <v/>
      </c>
      <c r="AW170" s="82"/>
      <c r="AX170" s="83"/>
      <c r="AY170" s="75" t="str">
        <f ca="1">IFERROR(__xludf.DUMMYFUNCTION("""COMPUTED_VALUE"""),"")</f>
        <v/>
      </c>
      <c r="AZ170" s="82"/>
      <c r="BA170" s="83"/>
      <c r="BB170" s="75" t="str">
        <f ca="1">IFERROR(__xludf.DUMMYFUNCTION("""COMPUTED_VALUE"""),"")</f>
        <v/>
      </c>
      <c r="BC170" s="82"/>
      <c r="BD170" s="83"/>
      <c r="BE170" s="75" t="str">
        <f ca="1">IFERROR(__xludf.DUMMYFUNCTION("""COMPUTED_VALUE"""),"")</f>
        <v/>
      </c>
      <c r="BF170" s="82"/>
      <c r="BG170" s="83"/>
      <c r="BH170" s="75" t="str">
        <f ca="1">IFERROR(__xludf.DUMMYFUNCTION("""COMPUTED_VALUE"""),"")</f>
        <v/>
      </c>
      <c r="BI170" s="46"/>
    </row>
    <row r="171" spans="1:61" ht="22.5" customHeight="1" x14ac:dyDescent="0.25">
      <c r="A171" s="46"/>
      <c r="B171" s="85"/>
      <c r="C171" s="75"/>
      <c r="D171" s="75"/>
      <c r="E171" s="75"/>
      <c r="F171" s="76"/>
      <c r="G171" s="77" t="str">
        <f ca="1">IFERROR(__xludf.DUMMYFUNCTION("""COMPUTED_VALUE"""),"")</f>
        <v/>
      </c>
      <c r="H171" s="78" t="str">
        <f ca="1">IFERROR(__xludf.DUMMYFUNCTION("""COMPUTED_VALUE"""),"")</f>
        <v/>
      </c>
      <c r="I171" s="79" t="str">
        <f ca="1">IFERROR(__xludf.DUMMYFUNCTION("""COMPUTED_VALUE"""),"")</f>
        <v/>
      </c>
      <c r="J171" s="264"/>
      <c r="K171" s="82" t="str">
        <f ca="1">IFERROR(__xludf.DUMMYFUNCTION("""COMPUTED_VALUE"""),"")</f>
        <v/>
      </c>
      <c r="L171" s="81" t="str">
        <f ca="1">IFERROR(__xludf.DUMMYFUNCTION("""COMPUTED_VALUE"""),"")</f>
        <v/>
      </c>
      <c r="M171" s="82"/>
      <c r="N171" s="83"/>
      <c r="O171" s="75" t="str">
        <f ca="1">IFERROR(__xludf.DUMMYFUNCTION("""COMPUTED_VALUE"""),"")</f>
        <v/>
      </c>
      <c r="P171" s="82"/>
      <c r="Q171" s="83"/>
      <c r="R171" s="75" t="str">
        <f ca="1">IFERROR(__xludf.DUMMYFUNCTION("""COMPUTED_VALUE"""),"")</f>
        <v/>
      </c>
      <c r="S171" s="82"/>
      <c r="T171" s="83"/>
      <c r="U171" s="75" t="str">
        <f ca="1">IFERROR(__xludf.DUMMYFUNCTION("""COMPUTED_VALUE"""),"")</f>
        <v/>
      </c>
      <c r="V171" s="82"/>
      <c r="W171" s="83"/>
      <c r="X171" s="75" t="str">
        <f ca="1">IFERROR(__xludf.DUMMYFUNCTION("""COMPUTED_VALUE"""),"")</f>
        <v/>
      </c>
      <c r="Y171" s="82"/>
      <c r="Z171" s="83"/>
      <c r="AA171" s="75" t="str">
        <f ca="1">IFERROR(__xludf.DUMMYFUNCTION("""COMPUTED_VALUE"""),"")</f>
        <v/>
      </c>
      <c r="AB171" s="82"/>
      <c r="AC171" s="83"/>
      <c r="AD171" s="75" t="str">
        <f ca="1">IFERROR(__xludf.DUMMYFUNCTION("""COMPUTED_VALUE"""),"")</f>
        <v/>
      </c>
      <c r="AE171" s="82"/>
      <c r="AF171" s="83"/>
      <c r="AG171" s="75" t="str">
        <f ca="1">IFERROR(__xludf.DUMMYFUNCTION("""COMPUTED_VALUE"""),"")</f>
        <v/>
      </c>
      <c r="AH171" s="82"/>
      <c r="AI171" s="83"/>
      <c r="AJ171" s="75" t="str">
        <f ca="1">IFERROR(__xludf.DUMMYFUNCTION("""COMPUTED_VALUE"""),"")</f>
        <v/>
      </c>
      <c r="AK171" s="82"/>
      <c r="AL171" s="83"/>
      <c r="AM171" s="75" t="str">
        <f ca="1">IFERROR(__xludf.DUMMYFUNCTION("""COMPUTED_VALUE"""),"")</f>
        <v/>
      </c>
      <c r="AN171" s="82"/>
      <c r="AO171" s="83"/>
      <c r="AP171" s="75" t="str">
        <f ca="1">IFERROR(__xludf.DUMMYFUNCTION("""COMPUTED_VALUE"""),"")</f>
        <v/>
      </c>
      <c r="AQ171" s="82"/>
      <c r="AR171" s="83"/>
      <c r="AS171" s="75" t="str">
        <f ca="1">IFERROR(__xludf.DUMMYFUNCTION("""COMPUTED_VALUE"""),"")</f>
        <v/>
      </c>
      <c r="AT171" s="82"/>
      <c r="AU171" s="83"/>
      <c r="AV171" s="75" t="str">
        <f ca="1">IFERROR(__xludf.DUMMYFUNCTION("""COMPUTED_VALUE"""),"")</f>
        <v/>
      </c>
      <c r="AW171" s="82"/>
      <c r="AX171" s="83"/>
      <c r="AY171" s="75" t="str">
        <f ca="1">IFERROR(__xludf.DUMMYFUNCTION("""COMPUTED_VALUE"""),"")</f>
        <v/>
      </c>
      <c r="AZ171" s="82"/>
      <c r="BA171" s="83"/>
      <c r="BB171" s="75" t="str">
        <f ca="1">IFERROR(__xludf.DUMMYFUNCTION("""COMPUTED_VALUE"""),"")</f>
        <v/>
      </c>
      <c r="BC171" s="82"/>
      <c r="BD171" s="83"/>
      <c r="BE171" s="75" t="str">
        <f ca="1">IFERROR(__xludf.DUMMYFUNCTION("""COMPUTED_VALUE"""),"")</f>
        <v/>
      </c>
      <c r="BF171" s="82"/>
      <c r="BG171" s="83"/>
      <c r="BH171" s="75" t="str">
        <f ca="1">IFERROR(__xludf.DUMMYFUNCTION("""COMPUTED_VALUE"""),"")</f>
        <v/>
      </c>
      <c r="BI171" s="46"/>
    </row>
    <row r="172" spans="1:61" ht="22.5" customHeight="1" x14ac:dyDescent="0.25">
      <c r="A172" s="46"/>
      <c r="B172" s="85"/>
      <c r="C172" s="75"/>
      <c r="D172" s="75"/>
      <c r="E172" s="75"/>
      <c r="F172" s="76"/>
      <c r="G172" s="77" t="str">
        <f ca="1">IFERROR(__xludf.DUMMYFUNCTION("""COMPUTED_VALUE"""),"")</f>
        <v/>
      </c>
      <c r="H172" s="78" t="str">
        <f ca="1">IFERROR(__xludf.DUMMYFUNCTION("""COMPUTED_VALUE"""),"")</f>
        <v/>
      </c>
      <c r="I172" s="79" t="str">
        <f ca="1">IFERROR(__xludf.DUMMYFUNCTION("""COMPUTED_VALUE"""),"")</f>
        <v/>
      </c>
      <c r="J172" s="264"/>
      <c r="K172" s="82" t="str">
        <f ca="1">IFERROR(__xludf.DUMMYFUNCTION("""COMPUTED_VALUE"""),"")</f>
        <v/>
      </c>
      <c r="L172" s="81" t="str">
        <f ca="1">IFERROR(__xludf.DUMMYFUNCTION("""COMPUTED_VALUE"""),"")</f>
        <v/>
      </c>
      <c r="M172" s="82"/>
      <c r="N172" s="83"/>
      <c r="O172" s="75" t="str">
        <f ca="1">IFERROR(__xludf.DUMMYFUNCTION("""COMPUTED_VALUE"""),"")</f>
        <v/>
      </c>
      <c r="P172" s="82"/>
      <c r="Q172" s="83"/>
      <c r="R172" s="75" t="str">
        <f ca="1">IFERROR(__xludf.DUMMYFUNCTION("""COMPUTED_VALUE"""),"")</f>
        <v/>
      </c>
      <c r="S172" s="82"/>
      <c r="T172" s="83"/>
      <c r="U172" s="75" t="str">
        <f ca="1">IFERROR(__xludf.DUMMYFUNCTION("""COMPUTED_VALUE"""),"")</f>
        <v/>
      </c>
      <c r="V172" s="82"/>
      <c r="W172" s="83"/>
      <c r="X172" s="75" t="str">
        <f ca="1">IFERROR(__xludf.DUMMYFUNCTION("""COMPUTED_VALUE"""),"")</f>
        <v/>
      </c>
      <c r="Y172" s="82"/>
      <c r="Z172" s="83"/>
      <c r="AA172" s="75" t="str">
        <f ca="1">IFERROR(__xludf.DUMMYFUNCTION("""COMPUTED_VALUE"""),"")</f>
        <v/>
      </c>
      <c r="AB172" s="82"/>
      <c r="AC172" s="83"/>
      <c r="AD172" s="75" t="str">
        <f ca="1">IFERROR(__xludf.DUMMYFUNCTION("""COMPUTED_VALUE"""),"")</f>
        <v/>
      </c>
      <c r="AE172" s="82"/>
      <c r="AF172" s="83"/>
      <c r="AG172" s="75" t="str">
        <f ca="1">IFERROR(__xludf.DUMMYFUNCTION("""COMPUTED_VALUE"""),"")</f>
        <v/>
      </c>
      <c r="AH172" s="82"/>
      <c r="AI172" s="83"/>
      <c r="AJ172" s="75" t="str">
        <f ca="1">IFERROR(__xludf.DUMMYFUNCTION("""COMPUTED_VALUE"""),"")</f>
        <v/>
      </c>
      <c r="AK172" s="82"/>
      <c r="AL172" s="83"/>
      <c r="AM172" s="75" t="str">
        <f ca="1">IFERROR(__xludf.DUMMYFUNCTION("""COMPUTED_VALUE"""),"")</f>
        <v/>
      </c>
      <c r="AN172" s="82"/>
      <c r="AO172" s="83"/>
      <c r="AP172" s="75" t="str">
        <f ca="1">IFERROR(__xludf.DUMMYFUNCTION("""COMPUTED_VALUE"""),"")</f>
        <v/>
      </c>
      <c r="AQ172" s="82"/>
      <c r="AR172" s="83"/>
      <c r="AS172" s="75" t="str">
        <f ca="1">IFERROR(__xludf.DUMMYFUNCTION("""COMPUTED_VALUE"""),"")</f>
        <v/>
      </c>
      <c r="AT172" s="82"/>
      <c r="AU172" s="83"/>
      <c r="AV172" s="75" t="str">
        <f ca="1">IFERROR(__xludf.DUMMYFUNCTION("""COMPUTED_VALUE"""),"")</f>
        <v/>
      </c>
      <c r="AW172" s="82"/>
      <c r="AX172" s="83"/>
      <c r="AY172" s="75" t="str">
        <f ca="1">IFERROR(__xludf.DUMMYFUNCTION("""COMPUTED_VALUE"""),"")</f>
        <v/>
      </c>
      <c r="AZ172" s="82"/>
      <c r="BA172" s="83"/>
      <c r="BB172" s="75" t="str">
        <f ca="1">IFERROR(__xludf.DUMMYFUNCTION("""COMPUTED_VALUE"""),"")</f>
        <v/>
      </c>
      <c r="BC172" s="82"/>
      <c r="BD172" s="83"/>
      <c r="BE172" s="75" t="str">
        <f ca="1">IFERROR(__xludf.DUMMYFUNCTION("""COMPUTED_VALUE"""),"")</f>
        <v/>
      </c>
      <c r="BF172" s="82"/>
      <c r="BG172" s="83"/>
      <c r="BH172" s="75" t="str">
        <f ca="1">IFERROR(__xludf.DUMMYFUNCTION("""COMPUTED_VALUE"""),"")</f>
        <v/>
      </c>
      <c r="BI172" s="46"/>
    </row>
    <row r="173" spans="1:61" ht="22.5" customHeight="1" x14ac:dyDescent="0.25">
      <c r="A173" s="46"/>
      <c r="B173" s="85"/>
      <c r="C173" s="75"/>
      <c r="D173" s="75"/>
      <c r="E173" s="75"/>
      <c r="F173" s="76"/>
      <c r="G173" s="77" t="str">
        <f ca="1">IFERROR(__xludf.DUMMYFUNCTION("""COMPUTED_VALUE"""),"")</f>
        <v/>
      </c>
      <c r="H173" s="78" t="str">
        <f ca="1">IFERROR(__xludf.DUMMYFUNCTION("""COMPUTED_VALUE"""),"")</f>
        <v/>
      </c>
      <c r="I173" s="79" t="str">
        <f ca="1">IFERROR(__xludf.DUMMYFUNCTION("""COMPUTED_VALUE"""),"")</f>
        <v/>
      </c>
      <c r="J173" s="264"/>
      <c r="K173" s="82" t="str">
        <f ca="1">IFERROR(__xludf.DUMMYFUNCTION("""COMPUTED_VALUE"""),"")</f>
        <v/>
      </c>
      <c r="L173" s="81" t="str">
        <f ca="1">IFERROR(__xludf.DUMMYFUNCTION("""COMPUTED_VALUE"""),"")</f>
        <v/>
      </c>
      <c r="M173" s="82"/>
      <c r="N173" s="83"/>
      <c r="O173" s="75" t="str">
        <f ca="1">IFERROR(__xludf.DUMMYFUNCTION("""COMPUTED_VALUE"""),"")</f>
        <v/>
      </c>
      <c r="P173" s="82"/>
      <c r="Q173" s="83"/>
      <c r="R173" s="75" t="str">
        <f ca="1">IFERROR(__xludf.DUMMYFUNCTION("""COMPUTED_VALUE"""),"")</f>
        <v/>
      </c>
      <c r="S173" s="82"/>
      <c r="T173" s="83"/>
      <c r="U173" s="75" t="str">
        <f ca="1">IFERROR(__xludf.DUMMYFUNCTION("""COMPUTED_VALUE"""),"")</f>
        <v/>
      </c>
      <c r="V173" s="82"/>
      <c r="W173" s="83"/>
      <c r="X173" s="75" t="str">
        <f ca="1">IFERROR(__xludf.DUMMYFUNCTION("""COMPUTED_VALUE"""),"")</f>
        <v/>
      </c>
      <c r="Y173" s="82"/>
      <c r="Z173" s="83"/>
      <c r="AA173" s="75" t="str">
        <f ca="1">IFERROR(__xludf.DUMMYFUNCTION("""COMPUTED_VALUE"""),"")</f>
        <v/>
      </c>
      <c r="AB173" s="82"/>
      <c r="AC173" s="83"/>
      <c r="AD173" s="75" t="str">
        <f ca="1">IFERROR(__xludf.DUMMYFUNCTION("""COMPUTED_VALUE"""),"")</f>
        <v/>
      </c>
      <c r="AE173" s="82"/>
      <c r="AF173" s="83"/>
      <c r="AG173" s="75" t="str">
        <f ca="1">IFERROR(__xludf.DUMMYFUNCTION("""COMPUTED_VALUE"""),"")</f>
        <v/>
      </c>
      <c r="AH173" s="82"/>
      <c r="AI173" s="83"/>
      <c r="AJ173" s="75" t="str">
        <f ca="1">IFERROR(__xludf.DUMMYFUNCTION("""COMPUTED_VALUE"""),"")</f>
        <v/>
      </c>
      <c r="AK173" s="82"/>
      <c r="AL173" s="83"/>
      <c r="AM173" s="75" t="str">
        <f ca="1">IFERROR(__xludf.DUMMYFUNCTION("""COMPUTED_VALUE"""),"")</f>
        <v/>
      </c>
      <c r="AN173" s="82"/>
      <c r="AO173" s="83"/>
      <c r="AP173" s="75" t="str">
        <f ca="1">IFERROR(__xludf.DUMMYFUNCTION("""COMPUTED_VALUE"""),"")</f>
        <v/>
      </c>
      <c r="AQ173" s="82"/>
      <c r="AR173" s="83"/>
      <c r="AS173" s="75" t="str">
        <f ca="1">IFERROR(__xludf.DUMMYFUNCTION("""COMPUTED_VALUE"""),"")</f>
        <v/>
      </c>
      <c r="AT173" s="82"/>
      <c r="AU173" s="83"/>
      <c r="AV173" s="75" t="str">
        <f ca="1">IFERROR(__xludf.DUMMYFUNCTION("""COMPUTED_VALUE"""),"")</f>
        <v/>
      </c>
      <c r="AW173" s="82"/>
      <c r="AX173" s="83"/>
      <c r="AY173" s="75" t="str">
        <f ca="1">IFERROR(__xludf.DUMMYFUNCTION("""COMPUTED_VALUE"""),"")</f>
        <v/>
      </c>
      <c r="AZ173" s="82"/>
      <c r="BA173" s="83"/>
      <c r="BB173" s="75" t="str">
        <f ca="1">IFERROR(__xludf.DUMMYFUNCTION("""COMPUTED_VALUE"""),"")</f>
        <v/>
      </c>
      <c r="BC173" s="82"/>
      <c r="BD173" s="83"/>
      <c r="BE173" s="75" t="str">
        <f ca="1">IFERROR(__xludf.DUMMYFUNCTION("""COMPUTED_VALUE"""),"")</f>
        <v/>
      </c>
      <c r="BF173" s="82"/>
      <c r="BG173" s="83"/>
      <c r="BH173" s="75" t="str">
        <f ca="1">IFERROR(__xludf.DUMMYFUNCTION("""COMPUTED_VALUE"""),"")</f>
        <v/>
      </c>
      <c r="BI173" s="46"/>
    </row>
    <row r="174" spans="1:61" ht="22.5" customHeight="1" x14ac:dyDescent="0.25">
      <c r="A174" s="46"/>
      <c r="B174" s="85"/>
      <c r="C174" s="75"/>
      <c r="D174" s="75"/>
      <c r="E174" s="75"/>
      <c r="F174" s="76"/>
      <c r="G174" s="77" t="str">
        <f ca="1">IFERROR(__xludf.DUMMYFUNCTION("""COMPUTED_VALUE"""),"")</f>
        <v/>
      </c>
      <c r="H174" s="78" t="str">
        <f ca="1">IFERROR(__xludf.DUMMYFUNCTION("""COMPUTED_VALUE"""),"")</f>
        <v/>
      </c>
      <c r="I174" s="79" t="str">
        <f ca="1">IFERROR(__xludf.DUMMYFUNCTION("""COMPUTED_VALUE"""),"")</f>
        <v/>
      </c>
      <c r="J174" s="264"/>
      <c r="K174" s="82" t="str">
        <f ca="1">IFERROR(__xludf.DUMMYFUNCTION("""COMPUTED_VALUE"""),"")</f>
        <v/>
      </c>
      <c r="L174" s="81" t="str">
        <f ca="1">IFERROR(__xludf.DUMMYFUNCTION("""COMPUTED_VALUE"""),"")</f>
        <v/>
      </c>
      <c r="M174" s="82"/>
      <c r="N174" s="83"/>
      <c r="O174" s="75" t="str">
        <f ca="1">IFERROR(__xludf.DUMMYFUNCTION("""COMPUTED_VALUE"""),"")</f>
        <v/>
      </c>
      <c r="P174" s="82"/>
      <c r="Q174" s="83"/>
      <c r="R174" s="75" t="str">
        <f ca="1">IFERROR(__xludf.DUMMYFUNCTION("""COMPUTED_VALUE"""),"")</f>
        <v/>
      </c>
      <c r="S174" s="82"/>
      <c r="T174" s="83"/>
      <c r="U174" s="75" t="str">
        <f ca="1">IFERROR(__xludf.DUMMYFUNCTION("""COMPUTED_VALUE"""),"")</f>
        <v/>
      </c>
      <c r="V174" s="82"/>
      <c r="W174" s="83"/>
      <c r="X174" s="75" t="str">
        <f ca="1">IFERROR(__xludf.DUMMYFUNCTION("""COMPUTED_VALUE"""),"")</f>
        <v/>
      </c>
      <c r="Y174" s="82"/>
      <c r="Z174" s="83"/>
      <c r="AA174" s="75" t="str">
        <f ca="1">IFERROR(__xludf.DUMMYFUNCTION("""COMPUTED_VALUE"""),"")</f>
        <v/>
      </c>
      <c r="AB174" s="82"/>
      <c r="AC174" s="83"/>
      <c r="AD174" s="75" t="str">
        <f ca="1">IFERROR(__xludf.DUMMYFUNCTION("""COMPUTED_VALUE"""),"")</f>
        <v/>
      </c>
      <c r="AE174" s="82"/>
      <c r="AF174" s="83"/>
      <c r="AG174" s="75" t="str">
        <f ca="1">IFERROR(__xludf.DUMMYFUNCTION("""COMPUTED_VALUE"""),"")</f>
        <v/>
      </c>
      <c r="AH174" s="82"/>
      <c r="AI174" s="83"/>
      <c r="AJ174" s="75" t="str">
        <f ca="1">IFERROR(__xludf.DUMMYFUNCTION("""COMPUTED_VALUE"""),"")</f>
        <v/>
      </c>
      <c r="AK174" s="82"/>
      <c r="AL174" s="83"/>
      <c r="AM174" s="75" t="str">
        <f ca="1">IFERROR(__xludf.DUMMYFUNCTION("""COMPUTED_VALUE"""),"")</f>
        <v/>
      </c>
      <c r="AN174" s="82"/>
      <c r="AO174" s="83"/>
      <c r="AP174" s="75" t="str">
        <f ca="1">IFERROR(__xludf.DUMMYFUNCTION("""COMPUTED_VALUE"""),"")</f>
        <v/>
      </c>
      <c r="AQ174" s="82"/>
      <c r="AR174" s="83"/>
      <c r="AS174" s="75" t="str">
        <f ca="1">IFERROR(__xludf.DUMMYFUNCTION("""COMPUTED_VALUE"""),"")</f>
        <v/>
      </c>
      <c r="AT174" s="82"/>
      <c r="AU174" s="83"/>
      <c r="AV174" s="75" t="str">
        <f ca="1">IFERROR(__xludf.DUMMYFUNCTION("""COMPUTED_VALUE"""),"")</f>
        <v/>
      </c>
      <c r="AW174" s="82"/>
      <c r="AX174" s="83"/>
      <c r="AY174" s="75" t="str">
        <f ca="1">IFERROR(__xludf.DUMMYFUNCTION("""COMPUTED_VALUE"""),"")</f>
        <v/>
      </c>
      <c r="AZ174" s="82"/>
      <c r="BA174" s="83"/>
      <c r="BB174" s="75" t="str">
        <f ca="1">IFERROR(__xludf.DUMMYFUNCTION("""COMPUTED_VALUE"""),"")</f>
        <v/>
      </c>
      <c r="BC174" s="82"/>
      <c r="BD174" s="83"/>
      <c r="BE174" s="75" t="str">
        <f ca="1">IFERROR(__xludf.DUMMYFUNCTION("""COMPUTED_VALUE"""),"")</f>
        <v/>
      </c>
      <c r="BF174" s="82"/>
      <c r="BG174" s="83"/>
      <c r="BH174" s="75" t="str">
        <f ca="1">IFERROR(__xludf.DUMMYFUNCTION("""COMPUTED_VALUE"""),"")</f>
        <v/>
      </c>
      <c r="BI174" s="46"/>
    </row>
    <row r="175" spans="1:61" ht="22.5" customHeight="1" x14ac:dyDescent="0.25">
      <c r="A175" s="46"/>
      <c r="B175" s="85"/>
      <c r="C175" s="75"/>
      <c r="D175" s="75"/>
      <c r="E175" s="75"/>
      <c r="F175" s="76"/>
      <c r="G175" s="77" t="str">
        <f ca="1">IFERROR(__xludf.DUMMYFUNCTION("""COMPUTED_VALUE"""),"")</f>
        <v/>
      </c>
      <c r="H175" s="78" t="str">
        <f ca="1">IFERROR(__xludf.DUMMYFUNCTION("""COMPUTED_VALUE"""),"")</f>
        <v/>
      </c>
      <c r="I175" s="79" t="str">
        <f ca="1">IFERROR(__xludf.DUMMYFUNCTION("""COMPUTED_VALUE"""),"")</f>
        <v/>
      </c>
      <c r="J175" s="264"/>
      <c r="K175" s="82" t="str">
        <f ca="1">IFERROR(__xludf.DUMMYFUNCTION("""COMPUTED_VALUE"""),"")</f>
        <v/>
      </c>
      <c r="L175" s="81" t="str">
        <f ca="1">IFERROR(__xludf.DUMMYFUNCTION("""COMPUTED_VALUE"""),"")</f>
        <v/>
      </c>
      <c r="M175" s="82"/>
      <c r="N175" s="83"/>
      <c r="O175" s="75" t="str">
        <f ca="1">IFERROR(__xludf.DUMMYFUNCTION("""COMPUTED_VALUE"""),"")</f>
        <v/>
      </c>
      <c r="P175" s="82"/>
      <c r="Q175" s="83"/>
      <c r="R175" s="75" t="str">
        <f ca="1">IFERROR(__xludf.DUMMYFUNCTION("""COMPUTED_VALUE"""),"")</f>
        <v/>
      </c>
      <c r="S175" s="82"/>
      <c r="T175" s="83"/>
      <c r="U175" s="75" t="str">
        <f ca="1">IFERROR(__xludf.DUMMYFUNCTION("""COMPUTED_VALUE"""),"")</f>
        <v/>
      </c>
      <c r="V175" s="82"/>
      <c r="W175" s="83"/>
      <c r="X175" s="75" t="str">
        <f ca="1">IFERROR(__xludf.DUMMYFUNCTION("""COMPUTED_VALUE"""),"")</f>
        <v/>
      </c>
      <c r="Y175" s="82"/>
      <c r="Z175" s="83"/>
      <c r="AA175" s="75" t="str">
        <f ca="1">IFERROR(__xludf.DUMMYFUNCTION("""COMPUTED_VALUE"""),"")</f>
        <v/>
      </c>
      <c r="AB175" s="82"/>
      <c r="AC175" s="83"/>
      <c r="AD175" s="75" t="str">
        <f ca="1">IFERROR(__xludf.DUMMYFUNCTION("""COMPUTED_VALUE"""),"")</f>
        <v/>
      </c>
      <c r="AE175" s="82"/>
      <c r="AF175" s="83"/>
      <c r="AG175" s="75" t="str">
        <f ca="1">IFERROR(__xludf.DUMMYFUNCTION("""COMPUTED_VALUE"""),"")</f>
        <v/>
      </c>
      <c r="AH175" s="82"/>
      <c r="AI175" s="83"/>
      <c r="AJ175" s="75" t="str">
        <f ca="1">IFERROR(__xludf.DUMMYFUNCTION("""COMPUTED_VALUE"""),"")</f>
        <v/>
      </c>
      <c r="AK175" s="82"/>
      <c r="AL175" s="83"/>
      <c r="AM175" s="75" t="str">
        <f ca="1">IFERROR(__xludf.DUMMYFUNCTION("""COMPUTED_VALUE"""),"")</f>
        <v/>
      </c>
      <c r="AN175" s="82"/>
      <c r="AO175" s="83"/>
      <c r="AP175" s="75" t="str">
        <f ca="1">IFERROR(__xludf.DUMMYFUNCTION("""COMPUTED_VALUE"""),"")</f>
        <v/>
      </c>
      <c r="AQ175" s="82"/>
      <c r="AR175" s="83"/>
      <c r="AS175" s="75" t="str">
        <f ca="1">IFERROR(__xludf.DUMMYFUNCTION("""COMPUTED_VALUE"""),"")</f>
        <v/>
      </c>
      <c r="AT175" s="82"/>
      <c r="AU175" s="83"/>
      <c r="AV175" s="75" t="str">
        <f ca="1">IFERROR(__xludf.DUMMYFUNCTION("""COMPUTED_VALUE"""),"")</f>
        <v/>
      </c>
      <c r="AW175" s="82"/>
      <c r="AX175" s="83"/>
      <c r="AY175" s="75" t="str">
        <f ca="1">IFERROR(__xludf.DUMMYFUNCTION("""COMPUTED_VALUE"""),"")</f>
        <v/>
      </c>
      <c r="AZ175" s="82"/>
      <c r="BA175" s="83"/>
      <c r="BB175" s="75" t="str">
        <f ca="1">IFERROR(__xludf.DUMMYFUNCTION("""COMPUTED_VALUE"""),"")</f>
        <v/>
      </c>
      <c r="BC175" s="82"/>
      <c r="BD175" s="83"/>
      <c r="BE175" s="75" t="str">
        <f ca="1">IFERROR(__xludf.DUMMYFUNCTION("""COMPUTED_VALUE"""),"")</f>
        <v/>
      </c>
      <c r="BF175" s="82"/>
      <c r="BG175" s="83"/>
      <c r="BH175" s="75" t="str">
        <f ca="1">IFERROR(__xludf.DUMMYFUNCTION("""COMPUTED_VALUE"""),"")</f>
        <v/>
      </c>
      <c r="BI175" s="46"/>
    </row>
    <row r="176" spans="1:61" ht="22.5" customHeight="1" x14ac:dyDescent="0.25">
      <c r="A176" s="46"/>
      <c r="B176" s="85"/>
      <c r="C176" s="75"/>
      <c r="D176" s="75"/>
      <c r="E176" s="75"/>
      <c r="F176" s="76"/>
      <c r="G176" s="77" t="str">
        <f ca="1">IFERROR(__xludf.DUMMYFUNCTION("""COMPUTED_VALUE"""),"")</f>
        <v/>
      </c>
      <c r="H176" s="78" t="str">
        <f ca="1">IFERROR(__xludf.DUMMYFUNCTION("""COMPUTED_VALUE"""),"")</f>
        <v/>
      </c>
      <c r="I176" s="79" t="str">
        <f ca="1">IFERROR(__xludf.DUMMYFUNCTION("""COMPUTED_VALUE"""),"")</f>
        <v/>
      </c>
      <c r="J176" s="264"/>
      <c r="K176" s="82" t="str">
        <f ca="1">IFERROR(__xludf.DUMMYFUNCTION("""COMPUTED_VALUE"""),"")</f>
        <v/>
      </c>
      <c r="L176" s="81" t="str">
        <f ca="1">IFERROR(__xludf.DUMMYFUNCTION("""COMPUTED_VALUE"""),"")</f>
        <v/>
      </c>
      <c r="M176" s="82"/>
      <c r="N176" s="83"/>
      <c r="O176" s="75" t="str">
        <f ca="1">IFERROR(__xludf.DUMMYFUNCTION("""COMPUTED_VALUE"""),"")</f>
        <v/>
      </c>
      <c r="P176" s="82"/>
      <c r="Q176" s="83"/>
      <c r="R176" s="75" t="str">
        <f ca="1">IFERROR(__xludf.DUMMYFUNCTION("""COMPUTED_VALUE"""),"")</f>
        <v/>
      </c>
      <c r="S176" s="82"/>
      <c r="T176" s="83"/>
      <c r="U176" s="75" t="str">
        <f ca="1">IFERROR(__xludf.DUMMYFUNCTION("""COMPUTED_VALUE"""),"")</f>
        <v/>
      </c>
      <c r="V176" s="82"/>
      <c r="W176" s="83"/>
      <c r="X176" s="75" t="str">
        <f ca="1">IFERROR(__xludf.DUMMYFUNCTION("""COMPUTED_VALUE"""),"")</f>
        <v/>
      </c>
      <c r="Y176" s="82"/>
      <c r="Z176" s="83"/>
      <c r="AA176" s="75" t="str">
        <f ca="1">IFERROR(__xludf.DUMMYFUNCTION("""COMPUTED_VALUE"""),"")</f>
        <v/>
      </c>
      <c r="AB176" s="82"/>
      <c r="AC176" s="83"/>
      <c r="AD176" s="75" t="str">
        <f ca="1">IFERROR(__xludf.DUMMYFUNCTION("""COMPUTED_VALUE"""),"")</f>
        <v/>
      </c>
      <c r="AE176" s="82"/>
      <c r="AF176" s="83"/>
      <c r="AG176" s="75" t="str">
        <f ca="1">IFERROR(__xludf.DUMMYFUNCTION("""COMPUTED_VALUE"""),"")</f>
        <v/>
      </c>
      <c r="AH176" s="82"/>
      <c r="AI176" s="83"/>
      <c r="AJ176" s="75" t="str">
        <f ca="1">IFERROR(__xludf.DUMMYFUNCTION("""COMPUTED_VALUE"""),"")</f>
        <v/>
      </c>
      <c r="AK176" s="82"/>
      <c r="AL176" s="83"/>
      <c r="AM176" s="75" t="str">
        <f ca="1">IFERROR(__xludf.DUMMYFUNCTION("""COMPUTED_VALUE"""),"")</f>
        <v/>
      </c>
      <c r="AN176" s="82"/>
      <c r="AO176" s="83"/>
      <c r="AP176" s="75" t="str">
        <f ca="1">IFERROR(__xludf.DUMMYFUNCTION("""COMPUTED_VALUE"""),"")</f>
        <v/>
      </c>
      <c r="AQ176" s="82"/>
      <c r="AR176" s="83"/>
      <c r="AS176" s="75" t="str">
        <f ca="1">IFERROR(__xludf.DUMMYFUNCTION("""COMPUTED_VALUE"""),"")</f>
        <v/>
      </c>
      <c r="AT176" s="82"/>
      <c r="AU176" s="83"/>
      <c r="AV176" s="75" t="str">
        <f ca="1">IFERROR(__xludf.DUMMYFUNCTION("""COMPUTED_VALUE"""),"")</f>
        <v/>
      </c>
      <c r="AW176" s="82"/>
      <c r="AX176" s="83"/>
      <c r="AY176" s="75" t="str">
        <f ca="1">IFERROR(__xludf.DUMMYFUNCTION("""COMPUTED_VALUE"""),"")</f>
        <v/>
      </c>
      <c r="AZ176" s="82"/>
      <c r="BA176" s="83"/>
      <c r="BB176" s="75" t="str">
        <f ca="1">IFERROR(__xludf.DUMMYFUNCTION("""COMPUTED_VALUE"""),"")</f>
        <v/>
      </c>
      <c r="BC176" s="82"/>
      <c r="BD176" s="83"/>
      <c r="BE176" s="75" t="str">
        <f ca="1">IFERROR(__xludf.DUMMYFUNCTION("""COMPUTED_VALUE"""),"")</f>
        <v/>
      </c>
      <c r="BF176" s="82"/>
      <c r="BG176" s="83"/>
      <c r="BH176" s="75" t="str">
        <f ca="1">IFERROR(__xludf.DUMMYFUNCTION("""COMPUTED_VALUE"""),"")</f>
        <v/>
      </c>
      <c r="BI176" s="46"/>
    </row>
    <row r="177" spans="1:61" ht="22.5" customHeight="1" x14ac:dyDescent="0.25">
      <c r="A177" s="46"/>
      <c r="B177" s="85"/>
      <c r="C177" s="75"/>
      <c r="D177" s="75"/>
      <c r="E177" s="75"/>
      <c r="F177" s="76"/>
      <c r="G177" s="77" t="str">
        <f ca="1">IFERROR(__xludf.DUMMYFUNCTION("""COMPUTED_VALUE"""),"")</f>
        <v/>
      </c>
      <c r="H177" s="78" t="str">
        <f ca="1">IFERROR(__xludf.DUMMYFUNCTION("""COMPUTED_VALUE"""),"")</f>
        <v/>
      </c>
      <c r="I177" s="79" t="str">
        <f ca="1">IFERROR(__xludf.DUMMYFUNCTION("""COMPUTED_VALUE"""),"")</f>
        <v/>
      </c>
      <c r="J177" s="264"/>
      <c r="K177" s="82" t="str">
        <f ca="1">IFERROR(__xludf.DUMMYFUNCTION("""COMPUTED_VALUE"""),"")</f>
        <v/>
      </c>
      <c r="L177" s="81" t="str">
        <f ca="1">IFERROR(__xludf.DUMMYFUNCTION("""COMPUTED_VALUE"""),"")</f>
        <v/>
      </c>
      <c r="M177" s="82"/>
      <c r="N177" s="83"/>
      <c r="O177" s="75" t="str">
        <f ca="1">IFERROR(__xludf.DUMMYFUNCTION("""COMPUTED_VALUE"""),"")</f>
        <v/>
      </c>
      <c r="P177" s="82"/>
      <c r="Q177" s="83"/>
      <c r="R177" s="75" t="str">
        <f ca="1">IFERROR(__xludf.DUMMYFUNCTION("""COMPUTED_VALUE"""),"")</f>
        <v/>
      </c>
      <c r="S177" s="82"/>
      <c r="T177" s="83"/>
      <c r="U177" s="75" t="str">
        <f ca="1">IFERROR(__xludf.DUMMYFUNCTION("""COMPUTED_VALUE"""),"")</f>
        <v/>
      </c>
      <c r="V177" s="82"/>
      <c r="W177" s="83"/>
      <c r="X177" s="75" t="str">
        <f ca="1">IFERROR(__xludf.DUMMYFUNCTION("""COMPUTED_VALUE"""),"")</f>
        <v/>
      </c>
      <c r="Y177" s="82"/>
      <c r="Z177" s="83"/>
      <c r="AA177" s="75" t="str">
        <f ca="1">IFERROR(__xludf.DUMMYFUNCTION("""COMPUTED_VALUE"""),"")</f>
        <v/>
      </c>
      <c r="AB177" s="82"/>
      <c r="AC177" s="83"/>
      <c r="AD177" s="75" t="str">
        <f ca="1">IFERROR(__xludf.DUMMYFUNCTION("""COMPUTED_VALUE"""),"")</f>
        <v/>
      </c>
      <c r="AE177" s="82"/>
      <c r="AF177" s="83"/>
      <c r="AG177" s="75" t="str">
        <f ca="1">IFERROR(__xludf.DUMMYFUNCTION("""COMPUTED_VALUE"""),"")</f>
        <v/>
      </c>
      <c r="AH177" s="82"/>
      <c r="AI177" s="83"/>
      <c r="AJ177" s="75" t="str">
        <f ca="1">IFERROR(__xludf.DUMMYFUNCTION("""COMPUTED_VALUE"""),"")</f>
        <v/>
      </c>
      <c r="AK177" s="82"/>
      <c r="AL177" s="83"/>
      <c r="AM177" s="75" t="str">
        <f ca="1">IFERROR(__xludf.DUMMYFUNCTION("""COMPUTED_VALUE"""),"")</f>
        <v/>
      </c>
      <c r="AN177" s="82"/>
      <c r="AO177" s="83"/>
      <c r="AP177" s="75" t="str">
        <f ca="1">IFERROR(__xludf.DUMMYFUNCTION("""COMPUTED_VALUE"""),"")</f>
        <v/>
      </c>
      <c r="AQ177" s="82"/>
      <c r="AR177" s="83"/>
      <c r="AS177" s="75" t="str">
        <f ca="1">IFERROR(__xludf.DUMMYFUNCTION("""COMPUTED_VALUE"""),"")</f>
        <v/>
      </c>
      <c r="AT177" s="82"/>
      <c r="AU177" s="83"/>
      <c r="AV177" s="75" t="str">
        <f ca="1">IFERROR(__xludf.DUMMYFUNCTION("""COMPUTED_VALUE"""),"")</f>
        <v/>
      </c>
      <c r="AW177" s="82"/>
      <c r="AX177" s="83"/>
      <c r="AY177" s="75" t="str">
        <f ca="1">IFERROR(__xludf.DUMMYFUNCTION("""COMPUTED_VALUE"""),"")</f>
        <v/>
      </c>
      <c r="AZ177" s="82"/>
      <c r="BA177" s="83"/>
      <c r="BB177" s="75" t="str">
        <f ca="1">IFERROR(__xludf.DUMMYFUNCTION("""COMPUTED_VALUE"""),"")</f>
        <v/>
      </c>
      <c r="BC177" s="82"/>
      <c r="BD177" s="83"/>
      <c r="BE177" s="75" t="str">
        <f ca="1">IFERROR(__xludf.DUMMYFUNCTION("""COMPUTED_VALUE"""),"")</f>
        <v/>
      </c>
      <c r="BF177" s="82"/>
      <c r="BG177" s="83"/>
      <c r="BH177" s="75" t="str">
        <f ca="1">IFERROR(__xludf.DUMMYFUNCTION("""COMPUTED_VALUE"""),"")</f>
        <v/>
      </c>
      <c r="BI177" s="46"/>
    </row>
    <row r="178" spans="1:61" ht="22.5" customHeight="1" x14ac:dyDescent="0.25">
      <c r="A178" s="46"/>
      <c r="B178" s="85"/>
      <c r="C178" s="75"/>
      <c r="D178" s="75"/>
      <c r="E178" s="75"/>
      <c r="F178" s="76"/>
      <c r="G178" s="77" t="str">
        <f ca="1">IFERROR(__xludf.DUMMYFUNCTION("""COMPUTED_VALUE"""),"")</f>
        <v/>
      </c>
      <c r="H178" s="78" t="str">
        <f ca="1">IFERROR(__xludf.DUMMYFUNCTION("""COMPUTED_VALUE"""),"")</f>
        <v/>
      </c>
      <c r="I178" s="79" t="str">
        <f ca="1">IFERROR(__xludf.DUMMYFUNCTION("""COMPUTED_VALUE"""),"")</f>
        <v/>
      </c>
      <c r="J178" s="264"/>
      <c r="K178" s="82" t="str">
        <f ca="1">IFERROR(__xludf.DUMMYFUNCTION("""COMPUTED_VALUE"""),"")</f>
        <v/>
      </c>
      <c r="L178" s="81" t="str">
        <f ca="1">IFERROR(__xludf.DUMMYFUNCTION("""COMPUTED_VALUE"""),"")</f>
        <v/>
      </c>
      <c r="M178" s="82"/>
      <c r="N178" s="83"/>
      <c r="O178" s="75" t="str">
        <f ca="1">IFERROR(__xludf.DUMMYFUNCTION("""COMPUTED_VALUE"""),"")</f>
        <v/>
      </c>
      <c r="P178" s="82"/>
      <c r="Q178" s="83"/>
      <c r="R178" s="75" t="str">
        <f ca="1">IFERROR(__xludf.DUMMYFUNCTION("""COMPUTED_VALUE"""),"")</f>
        <v/>
      </c>
      <c r="S178" s="82"/>
      <c r="T178" s="83"/>
      <c r="U178" s="75" t="str">
        <f ca="1">IFERROR(__xludf.DUMMYFUNCTION("""COMPUTED_VALUE"""),"")</f>
        <v/>
      </c>
      <c r="V178" s="82"/>
      <c r="W178" s="83"/>
      <c r="X178" s="75" t="str">
        <f ca="1">IFERROR(__xludf.DUMMYFUNCTION("""COMPUTED_VALUE"""),"")</f>
        <v/>
      </c>
      <c r="Y178" s="82"/>
      <c r="Z178" s="83"/>
      <c r="AA178" s="75" t="str">
        <f ca="1">IFERROR(__xludf.DUMMYFUNCTION("""COMPUTED_VALUE"""),"")</f>
        <v/>
      </c>
      <c r="AB178" s="82"/>
      <c r="AC178" s="83"/>
      <c r="AD178" s="75" t="str">
        <f ca="1">IFERROR(__xludf.DUMMYFUNCTION("""COMPUTED_VALUE"""),"")</f>
        <v/>
      </c>
      <c r="AE178" s="82"/>
      <c r="AF178" s="83"/>
      <c r="AG178" s="75" t="str">
        <f ca="1">IFERROR(__xludf.DUMMYFUNCTION("""COMPUTED_VALUE"""),"")</f>
        <v/>
      </c>
      <c r="AH178" s="82"/>
      <c r="AI178" s="83"/>
      <c r="AJ178" s="75" t="str">
        <f ca="1">IFERROR(__xludf.DUMMYFUNCTION("""COMPUTED_VALUE"""),"")</f>
        <v/>
      </c>
      <c r="AK178" s="82"/>
      <c r="AL178" s="83"/>
      <c r="AM178" s="75" t="str">
        <f ca="1">IFERROR(__xludf.DUMMYFUNCTION("""COMPUTED_VALUE"""),"")</f>
        <v/>
      </c>
      <c r="AN178" s="82"/>
      <c r="AO178" s="83"/>
      <c r="AP178" s="75" t="str">
        <f ca="1">IFERROR(__xludf.DUMMYFUNCTION("""COMPUTED_VALUE"""),"")</f>
        <v/>
      </c>
      <c r="AQ178" s="82"/>
      <c r="AR178" s="83"/>
      <c r="AS178" s="75" t="str">
        <f ca="1">IFERROR(__xludf.DUMMYFUNCTION("""COMPUTED_VALUE"""),"")</f>
        <v/>
      </c>
      <c r="AT178" s="82"/>
      <c r="AU178" s="83"/>
      <c r="AV178" s="75" t="str">
        <f ca="1">IFERROR(__xludf.DUMMYFUNCTION("""COMPUTED_VALUE"""),"")</f>
        <v/>
      </c>
      <c r="AW178" s="82"/>
      <c r="AX178" s="83"/>
      <c r="AY178" s="75" t="str">
        <f ca="1">IFERROR(__xludf.DUMMYFUNCTION("""COMPUTED_VALUE"""),"")</f>
        <v/>
      </c>
      <c r="AZ178" s="82"/>
      <c r="BA178" s="83"/>
      <c r="BB178" s="75" t="str">
        <f ca="1">IFERROR(__xludf.DUMMYFUNCTION("""COMPUTED_VALUE"""),"")</f>
        <v/>
      </c>
      <c r="BC178" s="82"/>
      <c r="BD178" s="83"/>
      <c r="BE178" s="75" t="str">
        <f ca="1">IFERROR(__xludf.DUMMYFUNCTION("""COMPUTED_VALUE"""),"")</f>
        <v/>
      </c>
      <c r="BF178" s="82"/>
      <c r="BG178" s="83"/>
      <c r="BH178" s="75" t="str">
        <f ca="1">IFERROR(__xludf.DUMMYFUNCTION("""COMPUTED_VALUE"""),"")</f>
        <v/>
      </c>
      <c r="BI178" s="46"/>
    </row>
    <row r="179" spans="1:61" ht="22.5" customHeight="1" x14ac:dyDescent="0.25">
      <c r="A179" s="46"/>
      <c r="B179" s="85"/>
      <c r="C179" s="75"/>
      <c r="D179" s="75"/>
      <c r="E179" s="75"/>
      <c r="F179" s="76"/>
      <c r="G179" s="77" t="str">
        <f ca="1">IFERROR(__xludf.DUMMYFUNCTION("""COMPUTED_VALUE"""),"")</f>
        <v/>
      </c>
      <c r="H179" s="78" t="str">
        <f ca="1">IFERROR(__xludf.DUMMYFUNCTION("""COMPUTED_VALUE"""),"")</f>
        <v/>
      </c>
      <c r="I179" s="79" t="str">
        <f ca="1">IFERROR(__xludf.DUMMYFUNCTION("""COMPUTED_VALUE"""),"")</f>
        <v/>
      </c>
      <c r="J179" s="264"/>
      <c r="K179" s="82" t="str">
        <f ca="1">IFERROR(__xludf.DUMMYFUNCTION("""COMPUTED_VALUE"""),"")</f>
        <v/>
      </c>
      <c r="L179" s="81" t="str">
        <f ca="1">IFERROR(__xludf.DUMMYFUNCTION("""COMPUTED_VALUE"""),"")</f>
        <v/>
      </c>
      <c r="M179" s="82"/>
      <c r="N179" s="83"/>
      <c r="O179" s="75" t="str">
        <f ca="1">IFERROR(__xludf.DUMMYFUNCTION("""COMPUTED_VALUE"""),"")</f>
        <v/>
      </c>
      <c r="P179" s="82"/>
      <c r="Q179" s="83"/>
      <c r="R179" s="75" t="str">
        <f ca="1">IFERROR(__xludf.DUMMYFUNCTION("""COMPUTED_VALUE"""),"")</f>
        <v/>
      </c>
      <c r="S179" s="82"/>
      <c r="T179" s="83"/>
      <c r="U179" s="75" t="str">
        <f ca="1">IFERROR(__xludf.DUMMYFUNCTION("""COMPUTED_VALUE"""),"")</f>
        <v/>
      </c>
      <c r="V179" s="82"/>
      <c r="W179" s="83"/>
      <c r="X179" s="75" t="str">
        <f ca="1">IFERROR(__xludf.DUMMYFUNCTION("""COMPUTED_VALUE"""),"")</f>
        <v/>
      </c>
      <c r="Y179" s="82"/>
      <c r="Z179" s="83"/>
      <c r="AA179" s="75" t="str">
        <f ca="1">IFERROR(__xludf.DUMMYFUNCTION("""COMPUTED_VALUE"""),"")</f>
        <v/>
      </c>
      <c r="AB179" s="82"/>
      <c r="AC179" s="83"/>
      <c r="AD179" s="75" t="str">
        <f ca="1">IFERROR(__xludf.DUMMYFUNCTION("""COMPUTED_VALUE"""),"")</f>
        <v/>
      </c>
      <c r="AE179" s="82"/>
      <c r="AF179" s="83"/>
      <c r="AG179" s="75" t="str">
        <f ca="1">IFERROR(__xludf.DUMMYFUNCTION("""COMPUTED_VALUE"""),"")</f>
        <v/>
      </c>
      <c r="AH179" s="82"/>
      <c r="AI179" s="83"/>
      <c r="AJ179" s="75" t="str">
        <f ca="1">IFERROR(__xludf.DUMMYFUNCTION("""COMPUTED_VALUE"""),"")</f>
        <v/>
      </c>
      <c r="AK179" s="82"/>
      <c r="AL179" s="83"/>
      <c r="AM179" s="75" t="str">
        <f ca="1">IFERROR(__xludf.DUMMYFUNCTION("""COMPUTED_VALUE"""),"")</f>
        <v/>
      </c>
      <c r="AN179" s="82"/>
      <c r="AO179" s="83"/>
      <c r="AP179" s="75" t="str">
        <f ca="1">IFERROR(__xludf.DUMMYFUNCTION("""COMPUTED_VALUE"""),"")</f>
        <v/>
      </c>
      <c r="AQ179" s="82"/>
      <c r="AR179" s="83"/>
      <c r="AS179" s="75" t="str">
        <f ca="1">IFERROR(__xludf.DUMMYFUNCTION("""COMPUTED_VALUE"""),"")</f>
        <v/>
      </c>
      <c r="AT179" s="82"/>
      <c r="AU179" s="83"/>
      <c r="AV179" s="75" t="str">
        <f ca="1">IFERROR(__xludf.DUMMYFUNCTION("""COMPUTED_VALUE"""),"")</f>
        <v/>
      </c>
      <c r="AW179" s="82"/>
      <c r="AX179" s="83"/>
      <c r="AY179" s="75" t="str">
        <f ca="1">IFERROR(__xludf.DUMMYFUNCTION("""COMPUTED_VALUE"""),"")</f>
        <v/>
      </c>
      <c r="AZ179" s="82"/>
      <c r="BA179" s="83"/>
      <c r="BB179" s="75" t="str">
        <f ca="1">IFERROR(__xludf.DUMMYFUNCTION("""COMPUTED_VALUE"""),"")</f>
        <v/>
      </c>
      <c r="BC179" s="82"/>
      <c r="BD179" s="83"/>
      <c r="BE179" s="75" t="str">
        <f ca="1">IFERROR(__xludf.DUMMYFUNCTION("""COMPUTED_VALUE"""),"")</f>
        <v/>
      </c>
      <c r="BF179" s="82"/>
      <c r="BG179" s="83"/>
      <c r="BH179" s="75" t="str">
        <f ca="1">IFERROR(__xludf.DUMMYFUNCTION("""COMPUTED_VALUE"""),"")</f>
        <v/>
      </c>
      <c r="BI179" s="46"/>
    </row>
    <row r="180" spans="1:61" ht="22.5" customHeight="1" x14ac:dyDescent="0.25">
      <c r="A180" s="46"/>
      <c r="B180" s="85"/>
      <c r="C180" s="75"/>
      <c r="D180" s="75"/>
      <c r="E180" s="75"/>
      <c r="F180" s="76"/>
      <c r="G180" s="77" t="str">
        <f ca="1">IFERROR(__xludf.DUMMYFUNCTION("""COMPUTED_VALUE"""),"")</f>
        <v/>
      </c>
      <c r="H180" s="78" t="str">
        <f ca="1">IFERROR(__xludf.DUMMYFUNCTION("""COMPUTED_VALUE"""),"")</f>
        <v/>
      </c>
      <c r="I180" s="79" t="str">
        <f ca="1">IFERROR(__xludf.DUMMYFUNCTION("""COMPUTED_VALUE"""),"")</f>
        <v/>
      </c>
      <c r="J180" s="264"/>
      <c r="K180" s="82" t="str">
        <f ca="1">IFERROR(__xludf.DUMMYFUNCTION("""COMPUTED_VALUE"""),"")</f>
        <v/>
      </c>
      <c r="L180" s="81" t="str">
        <f ca="1">IFERROR(__xludf.DUMMYFUNCTION("""COMPUTED_VALUE"""),"")</f>
        <v/>
      </c>
      <c r="M180" s="82"/>
      <c r="N180" s="83"/>
      <c r="O180" s="75" t="str">
        <f ca="1">IFERROR(__xludf.DUMMYFUNCTION("""COMPUTED_VALUE"""),"")</f>
        <v/>
      </c>
      <c r="P180" s="82"/>
      <c r="Q180" s="83"/>
      <c r="R180" s="75" t="str">
        <f ca="1">IFERROR(__xludf.DUMMYFUNCTION("""COMPUTED_VALUE"""),"")</f>
        <v/>
      </c>
      <c r="S180" s="82"/>
      <c r="T180" s="83"/>
      <c r="U180" s="75" t="str">
        <f ca="1">IFERROR(__xludf.DUMMYFUNCTION("""COMPUTED_VALUE"""),"")</f>
        <v/>
      </c>
      <c r="V180" s="82"/>
      <c r="W180" s="83"/>
      <c r="X180" s="75" t="str">
        <f ca="1">IFERROR(__xludf.DUMMYFUNCTION("""COMPUTED_VALUE"""),"")</f>
        <v/>
      </c>
      <c r="Y180" s="82"/>
      <c r="Z180" s="83"/>
      <c r="AA180" s="75" t="str">
        <f ca="1">IFERROR(__xludf.DUMMYFUNCTION("""COMPUTED_VALUE"""),"")</f>
        <v/>
      </c>
      <c r="AB180" s="82"/>
      <c r="AC180" s="83"/>
      <c r="AD180" s="75" t="str">
        <f ca="1">IFERROR(__xludf.DUMMYFUNCTION("""COMPUTED_VALUE"""),"")</f>
        <v/>
      </c>
      <c r="AE180" s="82"/>
      <c r="AF180" s="83"/>
      <c r="AG180" s="75" t="str">
        <f ca="1">IFERROR(__xludf.DUMMYFUNCTION("""COMPUTED_VALUE"""),"")</f>
        <v/>
      </c>
      <c r="AH180" s="82"/>
      <c r="AI180" s="83"/>
      <c r="AJ180" s="75" t="str">
        <f ca="1">IFERROR(__xludf.DUMMYFUNCTION("""COMPUTED_VALUE"""),"")</f>
        <v/>
      </c>
      <c r="AK180" s="82"/>
      <c r="AL180" s="83"/>
      <c r="AM180" s="75" t="str">
        <f ca="1">IFERROR(__xludf.DUMMYFUNCTION("""COMPUTED_VALUE"""),"")</f>
        <v/>
      </c>
      <c r="AN180" s="82"/>
      <c r="AO180" s="83"/>
      <c r="AP180" s="75" t="str">
        <f ca="1">IFERROR(__xludf.DUMMYFUNCTION("""COMPUTED_VALUE"""),"")</f>
        <v/>
      </c>
      <c r="AQ180" s="82"/>
      <c r="AR180" s="83"/>
      <c r="AS180" s="75" t="str">
        <f ca="1">IFERROR(__xludf.DUMMYFUNCTION("""COMPUTED_VALUE"""),"")</f>
        <v/>
      </c>
      <c r="AT180" s="82"/>
      <c r="AU180" s="83"/>
      <c r="AV180" s="75" t="str">
        <f ca="1">IFERROR(__xludf.DUMMYFUNCTION("""COMPUTED_VALUE"""),"")</f>
        <v/>
      </c>
      <c r="AW180" s="82"/>
      <c r="AX180" s="83"/>
      <c r="AY180" s="75" t="str">
        <f ca="1">IFERROR(__xludf.DUMMYFUNCTION("""COMPUTED_VALUE"""),"")</f>
        <v/>
      </c>
      <c r="AZ180" s="82"/>
      <c r="BA180" s="83"/>
      <c r="BB180" s="75" t="str">
        <f ca="1">IFERROR(__xludf.DUMMYFUNCTION("""COMPUTED_VALUE"""),"")</f>
        <v/>
      </c>
      <c r="BC180" s="82"/>
      <c r="BD180" s="83"/>
      <c r="BE180" s="75" t="str">
        <f ca="1">IFERROR(__xludf.DUMMYFUNCTION("""COMPUTED_VALUE"""),"")</f>
        <v/>
      </c>
      <c r="BF180" s="82"/>
      <c r="BG180" s="83"/>
      <c r="BH180" s="75" t="str">
        <f ca="1">IFERROR(__xludf.DUMMYFUNCTION("""COMPUTED_VALUE"""),"")</f>
        <v/>
      </c>
      <c r="BI180" s="46"/>
    </row>
    <row r="181" spans="1:61" ht="22.5" customHeight="1" x14ac:dyDescent="0.25">
      <c r="A181" s="46"/>
      <c r="B181" s="85"/>
      <c r="C181" s="75"/>
      <c r="D181" s="75"/>
      <c r="E181" s="75"/>
      <c r="F181" s="76"/>
      <c r="G181" s="77" t="str">
        <f ca="1">IFERROR(__xludf.DUMMYFUNCTION("""COMPUTED_VALUE"""),"")</f>
        <v/>
      </c>
      <c r="H181" s="78" t="str">
        <f ca="1">IFERROR(__xludf.DUMMYFUNCTION("""COMPUTED_VALUE"""),"")</f>
        <v/>
      </c>
      <c r="I181" s="79" t="str">
        <f ca="1">IFERROR(__xludf.DUMMYFUNCTION("""COMPUTED_VALUE"""),"")</f>
        <v/>
      </c>
      <c r="J181" s="264"/>
      <c r="K181" s="82" t="str">
        <f ca="1">IFERROR(__xludf.DUMMYFUNCTION("""COMPUTED_VALUE"""),"")</f>
        <v/>
      </c>
      <c r="L181" s="81" t="str">
        <f ca="1">IFERROR(__xludf.DUMMYFUNCTION("""COMPUTED_VALUE"""),"")</f>
        <v/>
      </c>
      <c r="M181" s="82"/>
      <c r="N181" s="83"/>
      <c r="O181" s="75" t="str">
        <f ca="1">IFERROR(__xludf.DUMMYFUNCTION("""COMPUTED_VALUE"""),"")</f>
        <v/>
      </c>
      <c r="P181" s="82"/>
      <c r="Q181" s="83"/>
      <c r="R181" s="75" t="str">
        <f ca="1">IFERROR(__xludf.DUMMYFUNCTION("""COMPUTED_VALUE"""),"")</f>
        <v/>
      </c>
      <c r="S181" s="82"/>
      <c r="T181" s="83"/>
      <c r="U181" s="75" t="str">
        <f ca="1">IFERROR(__xludf.DUMMYFUNCTION("""COMPUTED_VALUE"""),"")</f>
        <v/>
      </c>
      <c r="V181" s="82"/>
      <c r="W181" s="83"/>
      <c r="X181" s="75" t="str">
        <f ca="1">IFERROR(__xludf.DUMMYFUNCTION("""COMPUTED_VALUE"""),"")</f>
        <v/>
      </c>
      <c r="Y181" s="82"/>
      <c r="Z181" s="83"/>
      <c r="AA181" s="75" t="str">
        <f ca="1">IFERROR(__xludf.DUMMYFUNCTION("""COMPUTED_VALUE"""),"")</f>
        <v/>
      </c>
      <c r="AB181" s="82"/>
      <c r="AC181" s="83"/>
      <c r="AD181" s="75" t="str">
        <f ca="1">IFERROR(__xludf.DUMMYFUNCTION("""COMPUTED_VALUE"""),"")</f>
        <v/>
      </c>
      <c r="AE181" s="82"/>
      <c r="AF181" s="83"/>
      <c r="AG181" s="75" t="str">
        <f ca="1">IFERROR(__xludf.DUMMYFUNCTION("""COMPUTED_VALUE"""),"")</f>
        <v/>
      </c>
      <c r="AH181" s="82"/>
      <c r="AI181" s="83"/>
      <c r="AJ181" s="75" t="str">
        <f ca="1">IFERROR(__xludf.DUMMYFUNCTION("""COMPUTED_VALUE"""),"")</f>
        <v/>
      </c>
      <c r="AK181" s="82"/>
      <c r="AL181" s="83"/>
      <c r="AM181" s="75" t="str">
        <f ca="1">IFERROR(__xludf.DUMMYFUNCTION("""COMPUTED_VALUE"""),"")</f>
        <v/>
      </c>
      <c r="AN181" s="82"/>
      <c r="AO181" s="83"/>
      <c r="AP181" s="75" t="str">
        <f ca="1">IFERROR(__xludf.DUMMYFUNCTION("""COMPUTED_VALUE"""),"")</f>
        <v/>
      </c>
      <c r="AQ181" s="82"/>
      <c r="AR181" s="83"/>
      <c r="AS181" s="75" t="str">
        <f ca="1">IFERROR(__xludf.DUMMYFUNCTION("""COMPUTED_VALUE"""),"")</f>
        <v/>
      </c>
      <c r="AT181" s="82"/>
      <c r="AU181" s="83"/>
      <c r="AV181" s="75" t="str">
        <f ca="1">IFERROR(__xludf.DUMMYFUNCTION("""COMPUTED_VALUE"""),"")</f>
        <v/>
      </c>
      <c r="AW181" s="82"/>
      <c r="AX181" s="83"/>
      <c r="AY181" s="75" t="str">
        <f ca="1">IFERROR(__xludf.DUMMYFUNCTION("""COMPUTED_VALUE"""),"")</f>
        <v/>
      </c>
      <c r="AZ181" s="82"/>
      <c r="BA181" s="83"/>
      <c r="BB181" s="75" t="str">
        <f ca="1">IFERROR(__xludf.DUMMYFUNCTION("""COMPUTED_VALUE"""),"")</f>
        <v/>
      </c>
      <c r="BC181" s="82"/>
      <c r="BD181" s="83"/>
      <c r="BE181" s="75" t="str">
        <f ca="1">IFERROR(__xludf.DUMMYFUNCTION("""COMPUTED_VALUE"""),"")</f>
        <v/>
      </c>
      <c r="BF181" s="82"/>
      <c r="BG181" s="83"/>
      <c r="BH181" s="75" t="str">
        <f ca="1">IFERROR(__xludf.DUMMYFUNCTION("""COMPUTED_VALUE"""),"")</f>
        <v/>
      </c>
      <c r="BI181" s="46"/>
    </row>
    <row r="182" spans="1:61" ht="22.5" customHeight="1" x14ac:dyDescent="0.25">
      <c r="A182" s="46"/>
      <c r="B182" s="85"/>
      <c r="C182" s="75"/>
      <c r="D182" s="75"/>
      <c r="E182" s="75"/>
      <c r="F182" s="76"/>
      <c r="G182" s="77" t="str">
        <f ca="1">IFERROR(__xludf.DUMMYFUNCTION("""COMPUTED_VALUE"""),"")</f>
        <v/>
      </c>
      <c r="H182" s="78" t="str">
        <f ca="1">IFERROR(__xludf.DUMMYFUNCTION("""COMPUTED_VALUE"""),"")</f>
        <v/>
      </c>
      <c r="I182" s="79" t="str">
        <f ca="1">IFERROR(__xludf.DUMMYFUNCTION("""COMPUTED_VALUE"""),"")</f>
        <v/>
      </c>
      <c r="J182" s="264"/>
      <c r="K182" s="82" t="str">
        <f ca="1">IFERROR(__xludf.DUMMYFUNCTION("""COMPUTED_VALUE"""),"")</f>
        <v/>
      </c>
      <c r="L182" s="81" t="str">
        <f ca="1">IFERROR(__xludf.DUMMYFUNCTION("""COMPUTED_VALUE"""),"")</f>
        <v/>
      </c>
      <c r="M182" s="82"/>
      <c r="N182" s="83"/>
      <c r="O182" s="75" t="str">
        <f ca="1">IFERROR(__xludf.DUMMYFUNCTION("""COMPUTED_VALUE"""),"")</f>
        <v/>
      </c>
      <c r="P182" s="82"/>
      <c r="Q182" s="83"/>
      <c r="R182" s="75" t="str">
        <f ca="1">IFERROR(__xludf.DUMMYFUNCTION("""COMPUTED_VALUE"""),"")</f>
        <v/>
      </c>
      <c r="S182" s="82"/>
      <c r="T182" s="83"/>
      <c r="U182" s="75" t="str">
        <f ca="1">IFERROR(__xludf.DUMMYFUNCTION("""COMPUTED_VALUE"""),"")</f>
        <v/>
      </c>
      <c r="V182" s="82"/>
      <c r="W182" s="83"/>
      <c r="X182" s="75" t="str">
        <f ca="1">IFERROR(__xludf.DUMMYFUNCTION("""COMPUTED_VALUE"""),"")</f>
        <v/>
      </c>
      <c r="Y182" s="82"/>
      <c r="Z182" s="83"/>
      <c r="AA182" s="75" t="str">
        <f ca="1">IFERROR(__xludf.DUMMYFUNCTION("""COMPUTED_VALUE"""),"")</f>
        <v/>
      </c>
      <c r="AB182" s="82"/>
      <c r="AC182" s="83"/>
      <c r="AD182" s="75" t="str">
        <f ca="1">IFERROR(__xludf.DUMMYFUNCTION("""COMPUTED_VALUE"""),"")</f>
        <v/>
      </c>
      <c r="AE182" s="82"/>
      <c r="AF182" s="83"/>
      <c r="AG182" s="75" t="str">
        <f ca="1">IFERROR(__xludf.DUMMYFUNCTION("""COMPUTED_VALUE"""),"")</f>
        <v/>
      </c>
      <c r="AH182" s="82"/>
      <c r="AI182" s="83"/>
      <c r="AJ182" s="75" t="str">
        <f ca="1">IFERROR(__xludf.DUMMYFUNCTION("""COMPUTED_VALUE"""),"")</f>
        <v/>
      </c>
      <c r="AK182" s="82"/>
      <c r="AL182" s="83"/>
      <c r="AM182" s="75" t="str">
        <f ca="1">IFERROR(__xludf.DUMMYFUNCTION("""COMPUTED_VALUE"""),"")</f>
        <v/>
      </c>
      <c r="AN182" s="82"/>
      <c r="AO182" s="83"/>
      <c r="AP182" s="75" t="str">
        <f ca="1">IFERROR(__xludf.DUMMYFUNCTION("""COMPUTED_VALUE"""),"")</f>
        <v/>
      </c>
      <c r="AQ182" s="82"/>
      <c r="AR182" s="83"/>
      <c r="AS182" s="75" t="str">
        <f ca="1">IFERROR(__xludf.DUMMYFUNCTION("""COMPUTED_VALUE"""),"")</f>
        <v/>
      </c>
      <c r="AT182" s="82"/>
      <c r="AU182" s="83"/>
      <c r="AV182" s="75" t="str">
        <f ca="1">IFERROR(__xludf.DUMMYFUNCTION("""COMPUTED_VALUE"""),"")</f>
        <v/>
      </c>
      <c r="AW182" s="82"/>
      <c r="AX182" s="83"/>
      <c r="AY182" s="75" t="str">
        <f ca="1">IFERROR(__xludf.DUMMYFUNCTION("""COMPUTED_VALUE"""),"")</f>
        <v/>
      </c>
      <c r="AZ182" s="82"/>
      <c r="BA182" s="83"/>
      <c r="BB182" s="75" t="str">
        <f ca="1">IFERROR(__xludf.DUMMYFUNCTION("""COMPUTED_VALUE"""),"")</f>
        <v/>
      </c>
      <c r="BC182" s="82"/>
      <c r="BD182" s="83"/>
      <c r="BE182" s="75" t="str">
        <f ca="1">IFERROR(__xludf.DUMMYFUNCTION("""COMPUTED_VALUE"""),"")</f>
        <v/>
      </c>
      <c r="BF182" s="82"/>
      <c r="BG182" s="83"/>
      <c r="BH182" s="75" t="str">
        <f ca="1">IFERROR(__xludf.DUMMYFUNCTION("""COMPUTED_VALUE"""),"")</f>
        <v/>
      </c>
      <c r="BI182" s="46"/>
    </row>
    <row r="183" spans="1:61" ht="22.5" customHeight="1" x14ac:dyDescent="0.25">
      <c r="A183" s="46"/>
      <c r="B183" s="85"/>
      <c r="C183" s="75"/>
      <c r="D183" s="75"/>
      <c r="E183" s="75"/>
      <c r="F183" s="76"/>
      <c r="G183" s="77" t="str">
        <f ca="1">IFERROR(__xludf.DUMMYFUNCTION("""COMPUTED_VALUE"""),"")</f>
        <v/>
      </c>
      <c r="H183" s="78" t="str">
        <f ca="1">IFERROR(__xludf.DUMMYFUNCTION("""COMPUTED_VALUE"""),"")</f>
        <v/>
      </c>
      <c r="I183" s="79" t="str">
        <f ca="1">IFERROR(__xludf.DUMMYFUNCTION("""COMPUTED_VALUE"""),"")</f>
        <v/>
      </c>
      <c r="J183" s="264"/>
      <c r="K183" s="82" t="str">
        <f ca="1">IFERROR(__xludf.DUMMYFUNCTION("""COMPUTED_VALUE"""),"")</f>
        <v/>
      </c>
      <c r="L183" s="81" t="str">
        <f ca="1">IFERROR(__xludf.DUMMYFUNCTION("""COMPUTED_VALUE"""),"")</f>
        <v/>
      </c>
      <c r="M183" s="82"/>
      <c r="N183" s="83"/>
      <c r="O183" s="75" t="str">
        <f ca="1">IFERROR(__xludf.DUMMYFUNCTION("""COMPUTED_VALUE"""),"")</f>
        <v/>
      </c>
      <c r="P183" s="82"/>
      <c r="Q183" s="83"/>
      <c r="R183" s="75" t="str">
        <f ca="1">IFERROR(__xludf.DUMMYFUNCTION("""COMPUTED_VALUE"""),"")</f>
        <v/>
      </c>
      <c r="S183" s="82"/>
      <c r="T183" s="83"/>
      <c r="U183" s="75" t="str">
        <f ca="1">IFERROR(__xludf.DUMMYFUNCTION("""COMPUTED_VALUE"""),"")</f>
        <v/>
      </c>
      <c r="V183" s="82"/>
      <c r="W183" s="83"/>
      <c r="X183" s="75" t="str">
        <f ca="1">IFERROR(__xludf.DUMMYFUNCTION("""COMPUTED_VALUE"""),"")</f>
        <v/>
      </c>
      <c r="Y183" s="82"/>
      <c r="Z183" s="83"/>
      <c r="AA183" s="75" t="str">
        <f ca="1">IFERROR(__xludf.DUMMYFUNCTION("""COMPUTED_VALUE"""),"")</f>
        <v/>
      </c>
      <c r="AB183" s="82"/>
      <c r="AC183" s="83"/>
      <c r="AD183" s="75" t="str">
        <f ca="1">IFERROR(__xludf.DUMMYFUNCTION("""COMPUTED_VALUE"""),"")</f>
        <v/>
      </c>
      <c r="AE183" s="82"/>
      <c r="AF183" s="83"/>
      <c r="AG183" s="75" t="str">
        <f ca="1">IFERROR(__xludf.DUMMYFUNCTION("""COMPUTED_VALUE"""),"")</f>
        <v/>
      </c>
      <c r="AH183" s="82"/>
      <c r="AI183" s="83"/>
      <c r="AJ183" s="75" t="str">
        <f ca="1">IFERROR(__xludf.DUMMYFUNCTION("""COMPUTED_VALUE"""),"")</f>
        <v/>
      </c>
      <c r="AK183" s="82"/>
      <c r="AL183" s="83"/>
      <c r="AM183" s="75" t="str">
        <f ca="1">IFERROR(__xludf.DUMMYFUNCTION("""COMPUTED_VALUE"""),"")</f>
        <v/>
      </c>
      <c r="AN183" s="82"/>
      <c r="AO183" s="83"/>
      <c r="AP183" s="75" t="str">
        <f ca="1">IFERROR(__xludf.DUMMYFUNCTION("""COMPUTED_VALUE"""),"")</f>
        <v/>
      </c>
      <c r="AQ183" s="82"/>
      <c r="AR183" s="83"/>
      <c r="AS183" s="75" t="str">
        <f ca="1">IFERROR(__xludf.DUMMYFUNCTION("""COMPUTED_VALUE"""),"")</f>
        <v/>
      </c>
      <c r="AT183" s="82"/>
      <c r="AU183" s="83"/>
      <c r="AV183" s="75" t="str">
        <f ca="1">IFERROR(__xludf.DUMMYFUNCTION("""COMPUTED_VALUE"""),"")</f>
        <v/>
      </c>
      <c r="AW183" s="82"/>
      <c r="AX183" s="83"/>
      <c r="AY183" s="75" t="str">
        <f ca="1">IFERROR(__xludf.DUMMYFUNCTION("""COMPUTED_VALUE"""),"")</f>
        <v/>
      </c>
      <c r="AZ183" s="82"/>
      <c r="BA183" s="83"/>
      <c r="BB183" s="75" t="str">
        <f ca="1">IFERROR(__xludf.DUMMYFUNCTION("""COMPUTED_VALUE"""),"")</f>
        <v/>
      </c>
      <c r="BC183" s="82"/>
      <c r="BD183" s="83"/>
      <c r="BE183" s="75" t="str">
        <f ca="1">IFERROR(__xludf.DUMMYFUNCTION("""COMPUTED_VALUE"""),"")</f>
        <v/>
      </c>
      <c r="BF183" s="82"/>
      <c r="BG183" s="83"/>
      <c r="BH183" s="75" t="str">
        <f ca="1">IFERROR(__xludf.DUMMYFUNCTION("""COMPUTED_VALUE"""),"")</f>
        <v/>
      </c>
      <c r="BI183" s="46"/>
    </row>
    <row r="184" spans="1:61" ht="22.5" customHeight="1" x14ac:dyDescent="0.25">
      <c r="A184" s="46"/>
      <c r="B184" s="85"/>
      <c r="C184" s="75"/>
      <c r="D184" s="75"/>
      <c r="E184" s="75"/>
      <c r="F184" s="76"/>
      <c r="G184" s="77" t="str">
        <f ca="1">IFERROR(__xludf.DUMMYFUNCTION("""COMPUTED_VALUE"""),"")</f>
        <v/>
      </c>
      <c r="H184" s="78" t="str">
        <f ca="1">IFERROR(__xludf.DUMMYFUNCTION("""COMPUTED_VALUE"""),"")</f>
        <v/>
      </c>
      <c r="I184" s="79" t="str">
        <f ca="1">IFERROR(__xludf.DUMMYFUNCTION("""COMPUTED_VALUE"""),"")</f>
        <v/>
      </c>
      <c r="J184" s="264"/>
      <c r="K184" s="82" t="str">
        <f ca="1">IFERROR(__xludf.DUMMYFUNCTION("""COMPUTED_VALUE"""),"")</f>
        <v/>
      </c>
      <c r="L184" s="81" t="str">
        <f ca="1">IFERROR(__xludf.DUMMYFUNCTION("""COMPUTED_VALUE"""),"")</f>
        <v/>
      </c>
      <c r="M184" s="82"/>
      <c r="N184" s="83"/>
      <c r="O184" s="75" t="str">
        <f ca="1">IFERROR(__xludf.DUMMYFUNCTION("""COMPUTED_VALUE"""),"")</f>
        <v/>
      </c>
      <c r="P184" s="82"/>
      <c r="Q184" s="83"/>
      <c r="R184" s="75" t="str">
        <f ca="1">IFERROR(__xludf.DUMMYFUNCTION("""COMPUTED_VALUE"""),"")</f>
        <v/>
      </c>
      <c r="S184" s="82"/>
      <c r="T184" s="83"/>
      <c r="U184" s="75" t="str">
        <f ca="1">IFERROR(__xludf.DUMMYFUNCTION("""COMPUTED_VALUE"""),"")</f>
        <v/>
      </c>
      <c r="V184" s="82"/>
      <c r="W184" s="83"/>
      <c r="X184" s="75" t="str">
        <f ca="1">IFERROR(__xludf.DUMMYFUNCTION("""COMPUTED_VALUE"""),"")</f>
        <v/>
      </c>
      <c r="Y184" s="82"/>
      <c r="Z184" s="83"/>
      <c r="AA184" s="75" t="str">
        <f ca="1">IFERROR(__xludf.DUMMYFUNCTION("""COMPUTED_VALUE"""),"")</f>
        <v/>
      </c>
      <c r="AB184" s="82"/>
      <c r="AC184" s="83"/>
      <c r="AD184" s="75" t="str">
        <f ca="1">IFERROR(__xludf.DUMMYFUNCTION("""COMPUTED_VALUE"""),"")</f>
        <v/>
      </c>
      <c r="AE184" s="82"/>
      <c r="AF184" s="83"/>
      <c r="AG184" s="75" t="str">
        <f ca="1">IFERROR(__xludf.DUMMYFUNCTION("""COMPUTED_VALUE"""),"")</f>
        <v/>
      </c>
      <c r="AH184" s="82"/>
      <c r="AI184" s="83"/>
      <c r="AJ184" s="75" t="str">
        <f ca="1">IFERROR(__xludf.DUMMYFUNCTION("""COMPUTED_VALUE"""),"")</f>
        <v/>
      </c>
      <c r="AK184" s="82"/>
      <c r="AL184" s="83"/>
      <c r="AM184" s="75" t="str">
        <f ca="1">IFERROR(__xludf.DUMMYFUNCTION("""COMPUTED_VALUE"""),"")</f>
        <v/>
      </c>
      <c r="AN184" s="82"/>
      <c r="AO184" s="83"/>
      <c r="AP184" s="75" t="str">
        <f ca="1">IFERROR(__xludf.DUMMYFUNCTION("""COMPUTED_VALUE"""),"")</f>
        <v/>
      </c>
      <c r="AQ184" s="82"/>
      <c r="AR184" s="83"/>
      <c r="AS184" s="75" t="str">
        <f ca="1">IFERROR(__xludf.DUMMYFUNCTION("""COMPUTED_VALUE"""),"")</f>
        <v/>
      </c>
      <c r="AT184" s="82"/>
      <c r="AU184" s="83"/>
      <c r="AV184" s="75" t="str">
        <f ca="1">IFERROR(__xludf.DUMMYFUNCTION("""COMPUTED_VALUE"""),"")</f>
        <v/>
      </c>
      <c r="AW184" s="82"/>
      <c r="AX184" s="83"/>
      <c r="AY184" s="75" t="str">
        <f ca="1">IFERROR(__xludf.DUMMYFUNCTION("""COMPUTED_VALUE"""),"")</f>
        <v/>
      </c>
      <c r="AZ184" s="82"/>
      <c r="BA184" s="83"/>
      <c r="BB184" s="75" t="str">
        <f ca="1">IFERROR(__xludf.DUMMYFUNCTION("""COMPUTED_VALUE"""),"")</f>
        <v/>
      </c>
      <c r="BC184" s="82"/>
      <c r="BD184" s="83"/>
      <c r="BE184" s="75" t="str">
        <f ca="1">IFERROR(__xludf.DUMMYFUNCTION("""COMPUTED_VALUE"""),"")</f>
        <v/>
      </c>
      <c r="BF184" s="82"/>
      <c r="BG184" s="83"/>
      <c r="BH184" s="75" t="str">
        <f ca="1">IFERROR(__xludf.DUMMYFUNCTION("""COMPUTED_VALUE"""),"")</f>
        <v/>
      </c>
      <c r="BI184" s="46"/>
    </row>
    <row r="185" spans="1:61" ht="22.5" customHeight="1" x14ac:dyDescent="0.25">
      <c r="A185" s="46"/>
      <c r="B185" s="85"/>
      <c r="C185" s="75"/>
      <c r="D185" s="75"/>
      <c r="E185" s="75"/>
      <c r="F185" s="76"/>
      <c r="G185" s="77" t="str">
        <f ca="1">IFERROR(__xludf.DUMMYFUNCTION("""COMPUTED_VALUE"""),"")</f>
        <v/>
      </c>
      <c r="H185" s="78" t="str">
        <f ca="1">IFERROR(__xludf.DUMMYFUNCTION("""COMPUTED_VALUE"""),"")</f>
        <v/>
      </c>
      <c r="I185" s="79" t="str">
        <f ca="1">IFERROR(__xludf.DUMMYFUNCTION("""COMPUTED_VALUE"""),"")</f>
        <v/>
      </c>
      <c r="J185" s="264"/>
      <c r="K185" s="82" t="str">
        <f ca="1">IFERROR(__xludf.DUMMYFUNCTION("""COMPUTED_VALUE"""),"")</f>
        <v/>
      </c>
      <c r="L185" s="81" t="str">
        <f ca="1">IFERROR(__xludf.DUMMYFUNCTION("""COMPUTED_VALUE"""),"")</f>
        <v/>
      </c>
      <c r="M185" s="82"/>
      <c r="N185" s="83"/>
      <c r="O185" s="75" t="str">
        <f ca="1">IFERROR(__xludf.DUMMYFUNCTION("""COMPUTED_VALUE"""),"")</f>
        <v/>
      </c>
      <c r="P185" s="82"/>
      <c r="Q185" s="83"/>
      <c r="R185" s="75" t="str">
        <f ca="1">IFERROR(__xludf.DUMMYFUNCTION("""COMPUTED_VALUE"""),"")</f>
        <v/>
      </c>
      <c r="S185" s="82"/>
      <c r="T185" s="83"/>
      <c r="U185" s="75" t="str">
        <f ca="1">IFERROR(__xludf.DUMMYFUNCTION("""COMPUTED_VALUE"""),"")</f>
        <v/>
      </c>
      <c r="V185" s="82"/>
      <c r="W185" s="83"/>
      <c r="X185" s="75" t="str">
        <f ca="1">IFERROR(__xludf.DUMMYFUNCTION("""COMPUTED_VALUE"""),"")</f>
        <v/>
      </c>
      <c r="Y185" s="82"/>
      <c r="Z185" s="83"/>
      <c r="AA185" s="75" t="str">
        <f ca="1">IFERROR(__xludf.DUMMYFUNCTION("""COMPUTED_VALUE"""),"")</f>
        <v/>
      </c>
      <c r="AB185" s="82"/>
      <c r="AC185" s="83"/>
      <c r="AD185" s="75" t="str">
        <f ca="1">IFERROR(__xludf.DUMMYFUNCTION("""COMPUTED_VALUE"""),"")</f>
        <v/>
      </c>
      <c r="AE185" s="82"/>
      <c r="AF185" s="83"/>
      <c r="AG185" s="75" t="str">
        <f ca="1">IFERROR(__xludf.DUMMYFUNCTION("""COMPUTED_VALUE"""),"")</f>
        <v/>
      </c>
      <c r="AH185" s="82"/>
      <c r="AI185" s="83"/>
      <c r="AJ185" s="75" t="str">
        <f ca="1">IFERROR(__xludf.DUMMYFUNCTION("""COMPUTED_VALUE"""),"")</f>
        <v/>
      </c>
      <c r="AK185" s="82"/>
      <c r="AL185" s="83"/>
      <c r="AM185" s="75" t="str">
        <f ca="1">IFERROR(__xludf.DUMMYFUNCTION("""COMPUTED_VALUE"""),"")</f>
        <v/>
      </c>
      <c r="AN185" s="82"/>
      <c r="AO185" s="83"/>
      <c r="AP185" s="75" t="str">
        <f ca="1">IFERROR(__xludf.DUMMYFUNCTION("""COMPUTED_VALUE"""),"")</f>
        <v/>
      </c>
      <c r="AQ185" s="82"/>
      <c r="AR185" s="83"/>
      <c r="AS185" s="75" t="str">
        <f ca="1">IFERROR(__xludf.DUMMYFUNCTION("""COMPUTED_VALUE"""),"")</f>
        <v/>
      </c>
      <c r="AT185" s="82"/>
      <c r="AU185" s="83"/>
      <c r="AV185" s="75" t="str">
        <f ca="1">IFERROR(__xludf.DUMMYFUNCTION("""COMPUTED_VALUE"""),"")</f>
        <v/>
      </c>
      <c r="AW185" s="82"/>
      <c r="AX185" s="83"/>
      <c r="AY185" s="75" t="str">
        <f ca="1">IFERROR(__xludf.DUMMYFUNCTION("""COMPUTED_VALUE"""),"")</f>
        <v/>
      </c>
      <c r="AZ185" s="82"/>
      <c r="BA185" s="83"/>
      <c r="BB185" s="75" t="str">
        <f ca="1">IFERROR(__xludf.DUMMYFUNCTION("""COMPUTED_VALUE"""),"")</f>
        <v/>
      </c>
      <c r="BC185" s="82"/>
      <c r="BD185" s="83"/>
      <c r="BE185" s="75" t="str">
        <f ca="1">IFERROR(__xludf.DUMMYFUNCTION("""COMPUTED_VALUE"""),"")</f>
        <v/>
      </c>
      <c r="BF185" s="82"/>
      <c r="BG185" s="83"/>
      <c r="BH185" s="75" t="str">
        <f ca="1">IFERROR(__xludf.DUMMYFUNCTION("""COMPUTED_VALUE"""),"")</f>
        <v/>
      </c>
      <c r="BI185" s="46"/>
    </row>
    <row r="186" spans="1:61" ht="22.5" customHeight="1" x14ac:dyDescent="0.25">
      <c r="A186" s="46"/>
      <c r="B186" s="85"/>
      <c r="C186" s="75"/>
      <c r="D186" s="75"/>
      <c r="E186" s="75"/>
      <c r="F186" s="76"/>
      <c r="G186" s="77" t="str">
        <f ca="1">IFERROR(__xludf.DUMMYFUNCTION("""COMPUTED_VALUE"""),"")</f>
        <v/>
      </c>
      <c r="H186" s="78" t="str">
        <f ca="1">IFERROR(__xludf.DUMMYFUNCTION("""COMPUTED_VALUE"""),"")</f>
        <v/>
      </c>
      <c r="I186" s="79" t="str">
        <f ca="1">IFERROR(__xludf.DUMMYFUNCTION("""COMPUTED_VALUE"""),"")</f>
        <v/>
      </c>
      <c r="J186" s="264"/>
      <c r="K186" s="82" t="str">
        <f ca="1">IFERROR(__xludf.DUMMYFUNCTION("""COMPUTED_VALUE"""),"")</f>
        <v/>
      </c>
      <c r="L186" s="81" t="str">
        <f ca="1">IFERROR(__xludf.DUMMYFUNCTION("""COMPUTED_VALUE"""),"")</f>
        <v/>
      </c>
      <c r="M186" s="82"/>
      <c r="N186" s="83"/>
      <c r="O186" s="75" t="str">
        <f ca="1">IFERROR(__xludf.DUMMYFUNCTION("""COMPUTED_VALUE"""),"")</f>
        <v/>
      </c>
      <c r="P186" s="82"/>
      <c r="Q186" s="83"/>
      <c r="R186" s="75" t="str">
        <f ca="1">IFERROR(__xludf.DUMMYFUNCTION("""COMPUTED_VALUE"""),"")</f>
        <v/>
      </c>
      <c r="S186" s="82"/>
      <c r="T186" s="83"/>
      <c r="U186" s="75" t="str">
        <f ca="1">IFERROR(__xludf.DUMMYFUNCTION("""COMPUTED_VALUE"""),"")</f>
        <v/>
      </c>
      <c r="V186" s="82"/>
      <c r="W186" s="83"/>
      <c r="X186" s="75" t="str">
        <f ca="1">IFERROR(__xludf.DUMMYFUNCTION("""COMPUTED_VALUE"""),"")</f>
        <v/>
      </c>
      <c r="Y186" s="82"/>
      <c r="Z186" s="83"/>
      <c r="AA186" s="75" t="str">
        <f ca="1">IFERROR(__xludf.DUMMYFUNCTION("""COMPUTED_VALUE"""),"")</f>
        <v/>
      </c>
      <c r="AB186" s="82"/>
      <c r="AC186" s="83"/>
      <c r="AD186" s="75" t="str">
        <f ca="1">IFERROR(__xludf.DUMMYFUNCTION("""COMPUTED_VALUE"""),"")</f>
        <v/>
      </c>
      <c r="AE186" s="82"/>
      <c r="AF186" s="83"/>
      <c r="AG186" s="75" t="str">
        <f ca="1">IFERROR(__xludf.DUMMYFUNCTION("""COMPUTED_VALUE"""),"")</f>
        <v/>
      </c>
      <c r="AH186" s="82"/>
      <c r="AI186" s="83"/>
      <c r="AJ186" s="75" t="str">
        <f ca="1">IFERROR(__xludf.DUMMYFUNCTION("""COMPUTED_VALUE"""),"")</f>
        <v/>
      </c>
      <c r="AK186" s="82"/>
      <c r="AL186" s="83"/>
      <c r="AM186" s="75" t="str">
        <f ca="1">IFERROR(__xludf.DUMMYFUNCTION("""COMPUTED_VALUE"""),"")</f>
        <v/>
      </c>
      <c r="AN186" s="82"/>
      <c r="AO186" s="83"/>
      <c r="AP186" s="75" t="str">
        <f ca="1">IFERROR(__xludf.DUMMYFUNCTION("""COMPUTED_VALUE"""),"")</f>
        <v/>
      </c>
      <c r="AQ186" s="82"/>
      <c r="AR186" s="83"/>
      <c r="AS186" s="75" t="str">
        <f ca="1">IFERROR(__xludf.DUMMYFUNCTION("""COMPUTED_VALUE"""),"")</f>
        <v/>
      </c>
      <c r="AT186" s="82"/>
      <c r="AU186" s="83"/>
      <c r="AV186" s="75" t="str">
        <f ca="1">IFERROR(__xludf.DUMMYFUNCTION("""COMPUTED_VALUE"""),"")</f>
        <v/>
      </c>
      <c r="AW186" s="82"/>
      <c r="AX186" s="83"/>
      <c r="AY186" s="75" t="str">
        <f ca="1">IFERROR(__xludf.DUMMYFUNCTION("""COMPUTED_VALUE"""),"")</f>
        <v/>
      </c>
      <c r="AZ186" s="82"/>
      <c r="BA186" s="83"/>
      <c r="BB186" s="75" t="str">
        <f ca="1">IFERROR(__xludf.DUMMYFUNCTION("""COMPUTED_VALUE"""),"")</f>
        <v/>
      </c>
      <c r="BC186" s="82"/>
      <c r="BD186" s="83"/>
      <c r="BE186" s="75" t="str">
        <f ca="1">IFERROR(__xludf.DUMMYFUNCTION("""COMPUTED_VALUE"""),"")</f>
        <v/>
      </c>
      <c r="BF186" s="82"/>
      <c r="BG186" s="83"/>
      <c r="BH186" s="75" t="str">
        <f ca="1">IFERROR(__xludf.DUMMYFUNCTION("""COMPUTED_VALUE"""),"")</f>
        <v/>
      </c>
      <c r="BI186" s="46"/>
    </row>
    <row r="187" spans="1:61" ht="22.5" customHeight="1" x14ac:dyDescent="0.25">
      <c r="A187" s="46"/>
      <c r="B187" s="85"/>
      <c r="C187" s="75"/>
      <c r="D187" s="75"/>
      <c r="E187" s="75"/>
      <c r="F187" s="76"/>
      <c r="G187" s="77" t="str">
        <f ca="1">IFERROR(__xludf.DUMMYFUNCTION("""COMPUTED_VALUE"""),"")</f>
        <v/>
      </c>
      <c r="H187" s="78" t="str">
        <f ca="1">IFERROR(__xludf.DUMMYFUNCTION("""COMPUTED_VALUE"""),"")</f>
        <v/>
      </c>
      <c r="I187" s="79" t="str">
        <f ca="1">IFERROR(__xludf.DUMMYFUNCTION("""COMPUTED_VALUE"""),"")</f>
        <v/>
      </c>
      <c r="J187" s="264"/>
      <c r="K187" s="82" t="str">
        <f ca="1">IFERROR(__xludf.DUMMYFUNCTION("""COMPUTED_VALUE"""),"")</f>
        <v/>
      </c>
      <c r="L187" s="81" t="str">
        <f ca="1">IFERROR(__xludf.DUMMYFUNCTION("""COMPUTED_VALUE"""),"")</f>
        <v/>
      </c>
      <c r="M187" s="82"/>
      <c r="N187" s="83"/>
      <c r="O187" s="75" t="str">
        <f ca="1">IFERROR(__xludf.DUMMYFUNCTION("""COMPUTED_VALUE"""),"")</f>
        <v/>
      </c>
      <c r="P187" s="82"/>
      <c r="Q187" s="83"/>
      <c r="R187" s="75" t="str">
        <f ca="1">IFERROR(__xludf.DUMMYFUNCTION("""COMPUTED_VALUE"""),"")</f>
        <v/>
      </c>
      <c r="S187" s="82"/>
      <c r="T187" s="83"/>
      <c r="U187" s="75" t="str">
        <f ca="1">IFERROR(__xludf.DUMMYFUNCTION("""COMPUTED_VALUE"""),"")</f>
        <v/>
      </c>
      <c r="V187" s="82"/>
      <c r="W187" s="83"/>
      <c r="X187" s="75" t="str">
        <f ca="1">IFERROR(__xludf.DUMMYFUNCTION("""COMPUTED_VALUE"""),"")</f>
        <v/>
      </c>
      <c r="Y187" s="82"/>
      <c r="Z187" s="83"/>
      <c r="AA187" s="75" t="str">
        <f ca="1">IFERROR(__xludf.DUMMYFUNCTION("""COMPUTED_VALUE"""),"")</f>
        <v/>
      </c>
      <c r="AB187" s="82"/>
      <c r="AC187" s="83"/>
      <c r="AD187" s="75" t="str">
        <f ca="1">IFERROR(__xludf.DUMMYFUNCTION("""COMPUTED_VALUE"""),"")</f>
        <v/>
      </c>
      <c r="AE187" s="82"/>
      <c r="AF187" s="83"/>
      <c r="AG187" s="75" t="str">
        <f ca="1">IFERROR(__xludf.DUMMYFUNCTION("""COMPUTED_VALUE"""),"")</f>
        <v/>
      </c>
      <c r="AH187" s="82"/>
      <c r="AI187" s="83"/>
      <c r="AJ187" s="75" t="str">
        <f ca="1">IFERROR(__xludf.DUMMYFUNCTION("""COMPUTED_VALUE"""),"")</f>
        <v/>
      </c>
      <c r="AK187" s="82"/>
      <c r="AL187" s="83"/>
      <c r="AM187" s="75" t="str">
        <f ca="1">IFERROR(__xludf.DUMMYFUNCTION("""COMPUTED_VALUE"""),"")</f>
        <v/>
      </c>
      <c r="AN187" s="82"/>
      <c r="AO187" s="83"/>
      <c r="AP187" s="75" t="str">
        <f ca="1">IFERROR(__xludf.DUMMYFUNCTION("""COMPUTED_VALUE"""),"")</f>
        <v/>
      </c>
      <c r="AQ187" s="82"/>
      <c r="AR187" s="83"/>
      <c r="AS187" s="75" t="str">
        <f ca="1">IFERROR(__xludf.DUMMYFUNCTION("""COMPUTED_VALUE"""),"")</f>
        <v/>
      </c>
      <c r="AT187" s="82"/>
      <c r="AU187" s="83"/>
      <c r="AV187" s="75" t="str">
        <f ca="1">IFERROR(__xludf.DUMMYFUNCTION("""COMPUTED_VALUE"""),"")</f>
        <v/>
      </c>
      <c r="AW187" s="82"/>
      <c r="AX187" s="83"/>
      <c r="AY187" s="75" t="str">
        <f ca="1">IFERROR(__xludf.DUMMYFUNCTION("""COMPUTED_VALUE"""),"")</f>
        <v/>
      </c>
      <c r="AZ187" s="82"/>
      <c r="BA187" s="83"/>
      <c r="BB187" s="75" t="str">
        <f ca="1">IFERROR(__xludf.DUMMYFUNCTION("""COMPUTED_VALUE"""),"")</f>
        <v/>
      </c>
      <c r="BC187" s="82"/>
      <c r="BD187" s="83"/>
      <c r="BE187" s="75" t="str">
        <f ca="1">IFERROR(__xludf.DUMMYFUNCTION("""COMPUTED_VALUE"""),"")</f>
        <v/>
      </c>
      <c r="BF187" s="82"/>
      <c r="BG187" s="83"/>
      <c r="BH187" s="75" t="str">
        <f ca="1">IFERROR(__xludf.DUMMYFUNCTION("""COMPUTED_VALUE"""),"")</f>
        <v/>
      </c>
      <c r="BI187" s="46"/>
    </row>
    <row r="188" spans="1:61" ht="22.5" customHeight="1" x14ac:dyDescent="0.25">
      <c r="A188" s="46"/>
      <c r="B188" s="85"/>
      <c r="C188" s="75"/>
      <c r="D188" s="75"/>
      <c r="E188" s="75"/>
      <c r="F188" s="76"/>
      <c r="G188" s="77" t="str">
        <f ca="1">IFERROR(__xludf.DUMMYFUNCTION("""COMPUTED_VALUE"""),"")</f>
        <v/>
      </c>
      <c r="H188" s="78" t="str">
        <f ca="1">IFERROR(__xludf.DUMMYFUNCTION("""COMPUTED_VALUE"""),"")</f>
        <v/>
      </c>
      <c r="I188" s="79" t="str">
        <f ca="1">IFERROR(__xludf.DUMMYFUNCTION("""COMPUTED_VALUE"""),"")</f>
        <v/>
      </c>
      <c r="J188" s="264"/>
      <c r="K188" s="82" t="str">
        <f ca="1">IFERROR(__xludf.DUMMYFUNCTION("""COMPUTED_VALUE"""),"")</f>
        <v/>
      </c>
      <c r="L188" s="81" t="str">
        <f ca="1">IFERROR(__xludf.DUMMYFUNCTION("""COMPUTED_VALUE"""),"")</f>
        <v/>
      </c>
      <c r="M188" s="82"/>
      <c r="N188" s="83"/>
      <c r="O188" s="75" t="str">
        <f ca="1">IFERROR(__xludf.DUMMYFUNCTION("""COMPUTED_VALUE"""),"")</f>
        <v/>
      </c>
      <c r="P188" s="82"/>
      <c r="Q188" s="83"/>
      <c r="R188" s="75" t="str">
        <f ca="1">IFERROR(__xludf.DUMMYFUNCTION("""COMPUTED_VALUE"""),"")</f>
        <v/>
      </c>
      <c r="S188" s="82"/>
      <c r="T188" s="83"/>
      <c r="U188" s="75" t="str">
        <f ca="1">IFERROR(__xludf.DUMMYFUNCTION("""COMPUTED_VALUE"""),"")</f>
        <v/>
      </c>
      <c r="V188" s="82"/>
      <c r="W188" s="83"/>
      <c r="X188" s="75" t="str">
        <f ca="1">IFERROR(__xludf.DUMMYFUNCTION("""COMPUTED_VALUE"""),"")</f>
        <v/>
      </c>
      <c r="Y188" s="82"/>
      <c r="Z188" s="83"/>
      <c r="AA188" s="75" t="str">
        <f ca="1">IFERROR(__xludf.DUMMYFUNCTION("""COMPUTED_VALUE"""),"")</f>
        <v/>
      </c>
      <c r="AB188" s="82"/>
      <c r="AC188" s="83"/>
      <c r="AD188" s="75" t="str">
        <f ca="1">IFERROR(__xludf.DUMMYFUNCTION("""COMPUTED_VALUE"""),"")</f>
        <v/>
      </c>
      <c r="AE188" s="82"/>
      <c r="AF188" s="83"/>
      <c r="AG188" s="75" t="str">
        <f ca="1">IFERROR(__xludf.DUMMYFUNCTION("""COMPUTED_VALUE"""),"")</f>
        <v/>
      </c>
      <c r="AH188" s="82"/>
      <c r="AI188" s="83"/>
      <c r="AJ188" s="75" t="str">
        <f ca="1">IFERROR(__xludf.DUMMYFUNCTION("""COMPUTED_VALUE"""),"")</f>
        <v/>
      </c>
      <c r="AK188" s="82"/>
      <c r="AL188" s="83"/>
      <c r="AM188" s="75" t="str">
        <f ca="1">IFERROR(__xludf.DUMMYFUNCTION("""COMPUTED_VALUE"""),"")</f>
        <v/>
      </c>
      <c r="AN188" s="82"/>
      <c r="AO188" s="83"/>
      <c r="AP188" s="75" t="str">
        <f ca="1">IFERROR(__xludf.DUMMYFUNCTION("""COMPUTED_VALUE"""),"")</f>
        <v/>
      </c>
      <c r="AQ188" s="82"/>
      <c r="AR188" s="83"/>
      <c r="AS188" s="75" t="str">
        <f ca="1">IFERROR(__xludf.DUMMYFUNCTION("""COMPUTED_VALUE"""),"")</f>
        <v/>
      </c>
      <c r="AT188" s="82"/>
      <c r="AU188" s="83"/>
      <c r="AV188" s="75" t="str">
        <f ca="1">IFERROR(__xludf.DUMMYFUNCTION("""COMPUTED_VALUE"""),"")</f>
        <v/>
      </c>
      <c r="AW188" s="82"/>
      <c r="AX188" s="83"/>
      <c r="AY188" s="75" t="str">
        <f ca="1">IFERROR(__xludf.DUMMYFUNCTION("""COMPUTED_VALUE"""),"")</f>
        <v/>
      </c>
      <c r="AZ188" s="82"/>
      <c r="BA188" s="83"/>
      <c r="BB188" s="75" t="str">
        <f ca="1">IFERROR(__xludf.DUMMYFUNCTION("""COMPUTED_VALUE"""),"")</f>
        <v/>
      </c>
      <c r="BC188" s="82"/>
      <c r="BD188" s="83"/>
      <c r="BE188" s="75" t="str">
        <f ca="1">IFERROR(__xludf.DUMMYFUNCTION("""COMPUTED_VALUE"""),"")</f>
        <v/>
      </c>
      <c r="BF188" s="82"/>
      <c r="BG188" s="83"/>
      <c r="BH188" s="75" t="str">
        <f ca="1">IFERROR(__xludf.DUMMYFUNCTION("""COMPUTED_VALUE"""),"")</f>
        <v/>
      </c>
      <c r="BI188" s="46"/>
    </row>
    <row r="189" spans="1:61" ht="22.5" customHeight="1" x14ac:dyDescent="0.25">
      <c r="A189" s="46"/>
      <c r="B189" s="85"/>
      <c r="C189" s="75"/>
      <c r="D189" s="75"/>
      <c r="E189" s="75"/>
      <c r="F189" s="76"/>
      <c r="G189" s="77" t="str">
        <f ca="1">IFERROR(__xludf.DUMMYFUNCTION("""COMPUTED_VALUE"""),"")</f>
        <v/>
      </c>
      <c r="H189" s="78" t="str">
        <f ca="1">IFERROR(__xludf.DUMMYFUNCTION("""COMPUTED_VALUE"""),"")</f>
        <v/>
      </c>
      <c r="I189" s="79" t="str">
        <f ca="1">IFERROR(__xludf.DUMMYFUNCTION("""COMPUTED_VALUE"""),"")</f>
        <v/>
      </c>
      <c r="J189" s="264"/>
      <c r="K189" s="82" t="str">
        <f ca="1">IFERROR(__xludf.DUMMYFUNCTION("""COMPUTED_VALUE"""),"")</f>
        <v/>
      </c>
      <c r="L189" s="81" t="str">
        <f ca="1">IFERROR(__xludf.DUMMYFUNCTION("""COMPUTED_VALUE"""),"")</f>
        <v/>
      </c>
      <c r="M189" s="82"/>
      <c r="N189" s="83"/>
      <c r="O189" s="75" t="str">
        <f ca="1">IFERROR(__xludf.DUMMYFUNCTION("""COMPUTED_VALUE"""),"")</f>
        <v/>
      </c>
      <c r="P189" s="82"/>
      <c r="Q189" s="83"/>
      <c r="R189" s="75" t="str">
        <f ca="1">IFERROR(__xludf.DUMMYFUNCTION("""COMPUTED_VALUE"""),"")</f>
        <v/>
      </c>
      <c r="S189" s="82"/>
      <c r="T189" s="83"/>
      <c r="U189" s="75" t="str">
        <f ca="1">IFERROR(__xludf.DUMMYFUNCTION("""COMPUTED_VALUE"""),"")</f>
        <v/>
      </c>
      <c r="V189" s="82"/>
      <c r="W189" s="83"/>
      <c r="X189" s="75" t="str">
        <f ca="1">IFERROR(__xludf.DUMMYFUNCTION("""COMPUTED_VALUE"""),"")</f>
        <v/>
      </c>
      <c r="Y189" s="82"/>
      <c r="Z189" s="83"/>
      <c r="AA189" s="75" t="str">
        <f ca="1">IFERROR(__xludf.DUMMYFUNCTION("""COMPUTED_VALUE"""),"")</f>
        <v/>
      </c>
      <c r="AB189" s="82"/>
      <c r="AC189" s="83"/>
      <c r="AD189" s="75" t="str">
        <f ca="1">IFERROR(__xludf.DUMMYFUNCTION("""COMPUTED_VALUE"""),"")</f>
        <v/>
      </c>
      <c r="AE189" s="82"/>
      <c r="AF189" s="83"/>
      <c r="AG189" s="75" t="str">
        <f ca="1">IFERROR(__xludf.DUMMYFUNCTION("""COMPUTED_VALUE"""),"")</f>
        <v/>
      </c>
      <c r="AH189" s="82"/>
      <c r="AI189" s="83"/>
      <c r="AJ189" s="75" t="str">
        <f ca="1">IFERROR(__xludf.DUMMYFUNCTION("""COMPUTED_VALUE"""),"")</f>
        <v/>
      </c>
      <c r="AK189" s="82"/>
      <c r="AL189" s="83"/>
      <c r="AM189" s="75" t="str">
        <f ca="1">IFERROR(__xludf.DUMMYFUNCTION("""COMPUTED_VALUE"""),"")</f>
        <v/>
      </c>
      <c r="AN189" s="82"/>
      <c r="AO189" s="83"/>
      <c r="AP189" s="75" t="str">
        <f ca="1">IFERROR(__xludf.DUMMYFUNCTION("""COMPUTED_VALUE"""),"")</f>
        <v/>
      </c>
      <c r="AQ189" s="82"/>
      <c r="AR189" s="83"/>
      <c r="AS189" s="75" t="str">
        <f ca="1">IFERROR(__xludf.DUMMYFUNCTION("""COMPUTED_VALUE"""),"")</f>
        <v/>
      </c>
      <c r="AT189" s="82"/>
      <c r="AU189" s="83"/>
      <c r="AV189" s="75" t="str">
        <f ca="1">IFERROR(__xludf.DUMMYFUNCTION("""COMPUTED_VALUE"""),"")</f>
        <v/>
      </c>
      <c r="AW189" s="82"/>
      <c r="AX189" s="83"/>
      <c r="AY189" s="75" t="str">
        <f ca="1">IFERROR(__xludf.DUMMYFUNCTION("""COMPUTED_VALUE"""),"")</f>
        <v/>
      </c>
      <c r="AZ189" s="82"/>
      <c r="BA189" s="83"/>
      <c r="BB189" s="75" t="str">
        <f ca="1">IFERROR(__xludf.DUMMYFUNCTION("""COMPUTED_VALUE"""),"")</f>
        <v/>
      </c>
      <c r="BC189" s="82"/>
      <c r="BD189" s="83"/>
      <c r="BE189" s="75" t="str">
        <f ca="1">IFERROR(__xludf.DUMMYFUNCTION("""COMPUTED_VALUE"""),"")</f>
        <v/>
      </c>
      <c r="BF189" s="82"/>
      <c r="BG189" s="83"/>
      <c r="BH189" s="75" t="str">
        <f ca="1">IFERROR(__xludf.DUMMYFUNCTION("""COMPUTED_VALUE"""),"")</f>
        <v/>
      </c>
      <c r="BI189" s="46"/>
    </row>
    <row r="190" spans="1:61" ht="22.5" customHeight="1" x14ac:dyDescent="0.25">
      <c r="A190" s="46"/>
      <c r="B190" s="85"/>
      <c r="C190" s="75"/>
      <c r="D190" s="75"/>
      <c r="E190" s="75"/>
      <c r="F190" s="76"/>
      <c r="G190" s="77" t="str">
        <f ca="1">IFERROR(__xludf.DUMMYFUNCTION("""COMPUTED_VALUE"""),"")</f>
        <v/>
      </c>
      <c r="H190" s="78" t="str">
        <f ca="1">IFERROR(__xludf.DUMMYFUNCTION("""COMPUTED_VALUE"""),"")</f>
        <v/>
      </c>
      <c r="I190" s="79" t="str">
        <f ca="1">IFERROR(__xludf.DUMMYFUNCTION("""COMPUTED_VALUE"""),"")</f>
        <v/>
      </c>
      <c r="J190" s="264"/>
      <c r="K190" s="82" t="str">
        <f ca="1">IFERROR(__xludf.DUMMYFUNCTION("""COMPUTED_VALUE"""),"")</f>
        <v/>
      </c>
      <c r="L190" s="81" t="str">
        <f ca="1">IFERROR(__xludf.DUMMYFUNCTION("""COMPUTED_VALUE"""),"")</f>
        <v/>
      </c>
      <c r="M190" s="82"/>
      <c r="N190" s="83"/>
      <c r="O190" s="75" t="str">
        <f ca="1">IFERROR(__xludf.DUMMYFUNCTION("""COMPUTED_VALUE"""),"")</f>
        <v/>
      </c>
      <c r="P190" s="82"/>
      <c r="Q190" s="83"/>
      <c r="R190" s="75" t="str">
        <f ca="1">IFERROR(__xludf.DUMMYFUNCTION("""COMPUTED_VALUE"""),"")</f>
        <v/>
      </c>
      <c r="S190" s="82"/>
      <c r="T190" s="83"/>
      <c r="U190" s="75" t="str">
        <f ca="1">IFERROR(__xludf.DUMMYFUNCTION("""COMPUTED_VALUE"""),"")</f>
        <v/>
      </c>
      <c r="V190" s="82"/>
      <c r="W190" s="83"/>
      <c r="X190" s="75" t="str">
        <f ca="1">IFERROR(__xludf.DUMMYFUNCTION("""COMPUTED_VALUE"""),"")</f>
        <v/>
      </c>
      <c r="Y190" s="82"/>
      <c r="Z190" s="83"/>
      <c r="AA190" s="75" t="str">
        <f ca="1">IFERROR(__xludf.DUMMYFUNCTION("""COMPUTED_VALUE"""),"")</f>
        <v/>
      </c>
      <c r="AB190" s="82"/>
      <c r="AC190" s="83"/>
      <c r="AD190" s="75" t="str">
        <f ca="1">IFERROR(__xludf.DUMMYFUNCTION("""COMPUTED_VALUE"""),"")</f>
        <v/>
      </c>
      <c r="AE190" s="82"/>
      <c r="AF190" s="83"/>
      <c r="AG190" s="75" t="str">
        <f ca="1">IFERROR(__xludf.DUMMYFUNCTION("""COMPUTED_VALUE"""),"")</f>
        <v/>
      </c>
      <c r="AH190" s="82"/>
      <c r="AI190" s="83"/>
      <c r="AJ190" s="75" t="str">
        <f ca="1">IFERROR(__xludf.DUMMYFUNCTION("""COMPUTED_VALUE"""),"")</f>
        <v/>
      </c>
      <c r="AK190" s="82"/>
      <c r="AL190" s="83"/>
      <c r="AM190" s="75" t="str">
        <f ca="1">IFERROR(__xludf.DUMMYFUNCTION("""COMPUTED_VALUE"""),"")</f>
        <v/>
      </c>
      <c r="AN190" s="82"/>
      <c r="AO190" s="83"/>
      <c r="AP190" s="75" t="str">
        <f ca="1">IFERROR(__xludf.DUMMYFUNCTION("""COMPUTED_VALUE"""),"")</f>
        <v/>
      </c>
      <c r="AQ190" s="82"/>
      <c r="AR190" s="83"/>
      <c r="AS190" s="75" t="str">
        <f ca="1">IFERROR(__xludf.DUMMYFUNCTION("""COMPUTED_VALUE"""),"")</f>
        <v/>
      </c>
      <c r="AT190" s="82"/>
      <c r="AU190" s="83"/>
      <c r="AV190" s="75" t="str">
        <f ca="1">IFERROR(__xludf.DUMMYFUNCTION("""COMPUTED_VALUE"""),"")</f>
        <v/>
      </c>
      <c r="AW190" s="82"/>
      <c r="AX190" s="83"/>
      <c r="AY190" s="75" t="str">
        <f ca="1">IFERROR(__xludf.DUMMYFUNCTION("""COMPUTED_VALUE"""),"")</f>
        <v/>
      </c>
      <c r="AZ190" s="82"/>
      <c r="BA190" s="83"/>
      <c r="BB190" s="75" t="str">
        <f ca="1">IFERROR(__xludf.DUMMYFUNCTION("""COMPUTED_VALUE"""),"")</f>
        <v/>
      </c>
      <c r="BC190" s="82"/>
      <c r="BD190" s="83"/>
      <c r="BE190" s="75" t="str">
        <f ca="1">IFERROR(__xludf.DUMMYFUNCTION("""COMPUTED_VALUE"""),"")</f>
        <v/>
      </c>
      <c r="BF190" s="82"/>
      <c r="BG190" s="83"/>
      <c r="BH190" s="75" t="str">
        <f ca="1">IFERROR(__xludf.DUMMYFUNCTION("""COMPUTED_VALUE"""),"")</f>
        <v/>
      </c>
      <c r="BI190" s="46"/>
    </row>
    <row r="191" spans="1:61" ht="22.5" customHeight="1" x14ac:dyDescent="0.25">
      <c r="A191" s="46"/>
      <c r="B191" s="85"/>
      <c r="C191" s="75"/>
      <c r="D191" s="75"/>
      <c r="E191" s="75"/>
      <c r="F191" s="76"/>
      <c r="G191" s="77" t="str">
        <f ca="1">IFERROR(__xludf.DUMMYFUNCTION("""COMPUTED_VALUE"""),"")</f>
        <v/>
      </c>
      <c r="H191" s="78" t="str">
        <f ca="1">IFERROR(__xludf.DUMMYFUNCTION("""COMPUTED_VALUE"""),"")</f>
        <v/>
      </c>
      <c r="I191" s="79" t="str">
        <f ca="1">IFERROR(__xludf.DUMMYFUNCTION("""COMPUTED_VALUE"""),"")</f>
        <v/>
      </c>
      <c r="J191" s="264"/>
      <c r="K191" s="82" t="str">
        <f ca="1">IFERROR(__xludf.DUMMYFUNCTION("""COMPUTED_VALUE"""),"")</f>
        <v/>
      </c>
      <c r="L191" s="81" t="str">
        <f ca="1">IFERROR(__xludf.DUMMYFUNCTION("""COMPUTED_VALUE"""),"")</f>
        <v/>
      </c>
      <c r="M191" s="82"/>
      <c r="N191" s="83"/>
      <c r="O191" s="75" t="str">
        <f ca="1">IFERROR(__xludf.DUMMYFUNCTION("""COMPUTED_VALUE"""),"")</f>
        <v/>
      </c>
      <c r="P191" s="82"/>
      <c r="Q191" s="83"/>
      <c r="R191" s="75" t="str">
        <f ca="1">IFERROR(__xludf.DUMMYFUNCTION("""COMPUTED_VALUE"""),"")</f>
        <v/>
      </c>
      <c r="S191" s="82"/>
      <c r="T191" s="83"/>
      <c r="U191" s="75" t="str">
        <f ca="1">IFERROR(__xludf.DUMMYFUNCTION("""COMPUTED_VALUE"""),"")</f>
        <v/>
      </c>
      <c r="V191" s="82"/>
      <c r="W191" s="83"/>
      <c r="X191" s="75" t="str">
        <f ca="1">IFERROR(__xludf.DUMMYFUNCTION("""COMPUTED_VALUE"""),"")</f>
        <v/>
      </c>
      <c r="Y191" s="82"/>
      <c r="Z191" s="83"/>
      <c r="AA191" s="75" t="str">
        <f ca="1">IFERROR(__xludf.DUMMYFUNCTION("""COMPUTED_VALUE"""),"")</f>
        <v/>
      </c>
      <c r="AB191" s="82"/>
      <c r="AC191" s="83"/>
      <c r="AD191" s="75" t="str">
        <f ca="1">IFERROR(__xludf.DUMMYFUNCTION("""COMPUTED_VALUE"""),"")</f>
        <v/>
      </c>
      <c r="AE191" s="82"/>
      <c r="AF191" s="83"/>
      <c r="AG191" s="75" t="str">
        <f ca="1">IFERROR(__xludf.DUMMYFUNCTION("""COMPUTED_VALUE"""),"")</f>
        <v/>
      </c>
      <c r="AH191" s="82"/>
      <c r="AI191" s="83"/>
      <c r="AJ191" s="75" t="str">
        <f ca="1">IFERROR(__xludf.DUMMYFUNCTION("""COMPUTED_VALUE"""),"")</f>
        <v/>
      </c>
      <c r="AK191" s="82"/>
      <c r="AL191" s="83"/>
      <c r="AM191" s="75" t="str">
        <f ca="1">IFERROR(__xludf.DUMMYFUNCTION("""COMPUTED_VALUE"""),"")</f>
        <v/>
      </c>
      <c r="AN191" s="82"/>
      <c r="AO191" s="83"/>
      <c r="AP191" s="75" t="str">
        <f ca="1">IFERROR(__xludf.DUMMYFUNCTION("""COMPUTED_VALUE"""),"")</f>
        <v/>
      </c>
      <c r="AQ191" s="82"/>
      <c r="AR191" s="83"/>
      <c r="AS191" s="75" t="str">
        <f ca="1">IFERROR(__xludf.DUMMYFUNCTION("""COMPUTED_VALUE"""),"")</f>
        <v/>
      </c>
      <c r="AT191" s="82"/>
      <c r="AU191" s="83"/>
      <c r="AV191" s="75" t="str">
        <f ca="1">IFERROR(__xludf.DUMMYFUNCTION("""COMPUTED_VALUE"""),"")</f>
        <v/>
      </c>
      <c r="AW191" s="82"/>
      <c r="AX191" s="83"/>
      <c r="AY191" s="75" t="str">
        <f ca="1">IFERROR(__xludf.DUMMYFUNCTION("""COMPUTED_VALUE"""),"")</f>
        <v/>
      </c>
      <c r="AZ191" s="82"/>
      <c r="BA191" s="83"/>
      <c r="BB191" s="75" t="str">
        <f ca="1">IFERROR(__xludf.DUMMYFUNCTION("""COMPUTED_VALUE"""),"")</f>
        <v/>
      </c>
      <c r="BC191" s="82"/>
      <c r="BD191" s="83"/>
      <c r="BE191" s="75" t="str">
        <f ca="1">IFERROR(__xludf.DUMMYFUNCTION("""COMPUTED_VALUE"""),"")</f>
        <v/>
      </c>
      <c r="BF191" s="82"/>
      <c r="BG191" s="83"/>
      <c r="BH191" s="75" t="str">
        <f ca="1">IFERROR(__xludf.DUMMYFUNCTION("""COMPUTED_VALUE"""),"")</f>
        <v/>
      </c>
      <c r="BI191" s="46"/>
    </row>
    <row r="192" spans="1:61" ht="22.5" customHeight="1" x14ac:dyDescent="0.25">
      <c r="A192" s="46"/>
      <c r="B192" s="85"/>
      <c r="C192" s="75"/>
      <c r="D192" s="75"/>
      <c r="E192" s="75"/>
      <c r="F192" s="76"/>
      <c r="G192" s="77" t="str">
        <f ca="1">IFERROR(__xludf.DUMMYFUNCTION("""COMPUTED_VALUE"""),"")</f>
        <v/>
      </c>
      <c r="H192" s="78" t="str">
        <f ca="1">IFERROR(__xludf.DUMMYFUNCTION("""COMPUTED_VALUE"""),"")</f>
        <v/>
      </c>
      <c r="I192" s="79" t="str">
        <f ca="1">IFERROR(__xludf.DUMMYFUNCTION("""COMPUTED_VALUE"""),"")</f>
        <v/>
      </c>
      <c r="J192" s="264"/>
      <c r="K192" s="82" t="str">
        <f ca="1">IFERROR(__xludf.DUMMYFUNCTION("""COMPUTED_VALUE"""),"")</f>
        <v/>
      </c>
      <c r="L192" s="81" t="str">
        <f ca="1">IFERROR(__xludf.DUMMYFUNCTION("""COMPUTED_VALUE"""),"")</f>
        <v/>
      </c>
      <c r="M192" s="82"/>
      <c r="N192" s="83"/>
      <c r="O192" s="75" t="str">
        <f ca="1">IFERROR(__xludf.DUMMYFUNCTION("""COMPUTED_VALUE"""),"")</f>
        <v/>
      </c>
      <c r="P192" s="82"/>
      <c r="Q192" s="83"/>
      <c r="R192" s="75" t="str">
        <f ca="1">IFERROR(__xludf.DUMMYFUNCTION("""COMPUTED_VALUE"""),"")</f>
        <v/>
      </c>
      <c r="S192" s="82"/>
      <c r="T192" s="83"/>
      <c r="U192" s="75" t="str">
        <f ca="1">IFERROR(__xludf.DUMMYFUNCTION("""COMPUTED_VALUE"""),"")</f>
        <v/>
      </c>
      <c r="V192" s="82"/>
      <c r="W192" s="83"/>
      <c r="X192" s="75" t="str">
        <f ca="1">IFERROR(__xludf.DUMMYFUNCTION("""COMPUTED_VALUE"""),"")</f>
        <v/>
      </c>
      <c r="Y192" s="82"/>
      <c r="Z192" s="83"/>
      <c r="AA192" s="75" t="str">
        <f ca="1">IFERROR(__xludf.DUMMYFUNCTION("""COMPUTED_VALUE"""),"")</f>
        <v/>
      </c>
      <c r="AB192" s="82"/>
      <c r="AC192" s="83"/>
      <c r="AD192" s="75" t="str">
        <f ca="1">IFERROR(__xludf.DUMMYFUNCTION("""COMPUTED_VALUE"""),"")</f>
        <v/>
      </c>
      <c r="AE192" s="82"/>
      <c r="AF192" s="83"/>
      <c r="AG192" s="75" t="str">
        <f ca="1">IFERROR(__xludf.DUMMYFUNCTION("""COMPUTED_VALUE"""),"")</f>
        <v/>
      </c>
      <c r="AH192" s="82"/>
      <c r="AI192" s="83"/>
      <c r="AJ192" s="75" t="str">
        <f ca="1">IFERROR(__xludf.DUMMYFUNCTION("""COMPUTED_VALUE"""),"")</f>
        <v/>
      </c>
      <c r="AK192" s="82"/>
      <c r="AL192" s="83"/>
      <c r="AM192" s="75" t="str">
        <f ca="1">IFERROR(__xludf.DUMMYFUNCTION("""COMPUTED_VALUE"""),"")</f>
        <v/>
      </c>
      <c r="AN192" s="82"/>
      <c r="AO192" s="83"/>
      <c r="AP192" s="75" t="str">
        <f ca="1">IFERROR(__xludf.DUMMYFUNCTION("""COMPUTED_VALUE"""),"")</f>
        <v/>
      </c>
      <c r="AQ192" s="82"/>
      <c r="AR192" s="83"/>
      <c r="AS192" s="75" t="str">
        <f ca="1">IFERROR(__xludf.DUMMYFUNCTION("""COMPUTED_VALUE"""),"")</f>
        <v/>
      </c>
      <c r="AT192" s="82"/>
      <c r="AU192" s="83"/>
      <c r="AV192" s="75" t="str">
        <f ca="1">IFERROR(__xludf.DUMMYFUNCTION("""COMPUTED_VALUE"""),"")</f>
        <v/>
      </c>
      <c r="AW192" s="82"/>
      <c r="AX192" s="83"/>
      <c r="AY192" s="75" t="str">
        <f ca="1">IFERROR(__xludf.DUMMYFUNCTION("""COMPUTED_VALUE"""),"")</f>
        <v/>
      </c>
      <c r="AZ192" s="82"/>
      <c r="BA192" s="83"/>
      <c r="BB192" s="75" t="str">
        <f ca="1">IFERROR(__xludf.DUMMYFUNCTION("""COMPUTED_VALUE"""),"")</f>
        <v/>
      </c>
      <c r="BC192" s="82"/>
      <c r="BD192" s="83"/>
      <c r="BE192" s="75" t="str">
        <f ca="1">IFERROR(__xludf.DUMMYFUNCTION("""COMPUTED_VALUE"""),"")</f>
        <v/>
      </c>
      <c r="BF192" s="82"/>
      <c r="BG192" s="83"/>
      <c r="BH192" s="75" t="str">
        <f ca="1">IFERROR(__xludf.DUMMYFUNCTION("""COMPUTED_VALUE"""),"")</f>
        <v/>
      </c>
      <c r="BI192" s="46"/>
    </row>
    <row r="193" spans="1:61" ht="22.5" customHeight="1" x14ac:dyDescent="0.25">
      <c r="A193" s="46"/>
      <c r="B193" s="85"/>
      <c r="C193" s="75"/>
      <c r="D193" s="75"/>
      <c r="E193" s="75"/>
      <c r="F193" s="76"/>
      <c r="G193" s="77" t="str">
        <f ca="1">IFERROR(__xludf.DUMMYFUNCTION("""COMPUTED_VALUE"""),"")</f>
        <v/>
      </c>
      <c r="H193" s="78" t="str">
        <f ca="1">IFERROR(__xludf.DUMMYFUNCTION("""COMPUTED_VALUE"""),"")</f>
        <v/>
      </c>
      <c r="I193" s="79" t="str">
        <f ca="1">IFERROR(__xludf.DUMMYFUNCTION("""COMPUTED_VALUE"""),"")</f>
        <v/>
      </c>
      <c r="J193" s="264"/>
      <c r="K193" s="82" t="str">
        <f ca="1">IFERROR(__xludf.DUMMYFUNCTION("""COMPUTED_VALUE"""),"")</f>
        <v/>
      </c>
      <c r="L193" s="81" t="str">
        <f ca="1">IFERROR(__xludf.DUMMYFUNCTION("""COMPUTED_VALUE"""),"")</f>
        <v/>
      </c>
      <c r="M193" s="82"/>
      <c r="N193" s="83"/>
      <c r="O193" s="75" t="str">
        <f ca="1">IFERROR(__xludf.DUMMYFUNCTION("""COMPUTED_VALUE"""),"")</f>
        <v/>
      </c>
      <c r="P193" s="82"/>
      <c r="Q193" s="83"/>
      <c r="R193" s="75" t="str">
        <f ca="1">IFERROR(__xludf.DUMMYFUNCTION("""COMPUTED_VALUE"""),"")</f>
        <v/>
      </c>
      <c r="S193" s="82"/>
      <c r="T193" s="83"/>
      <c r="U193" s="75" t="str">
        <f ca="1">IFERROR(__xludf.DUMMYFUNCTION("""COMPUTED_VALUE"""),"")</f>
        <v/>
      </c>
      <c r="V193" s="82"/>
      <c r="W193" s="83"/>
      <c r="X193" s="75" t="str">
        <f ca="1">IFERROR(__xludf.DUMMYFUNCTION("""COMPUTED_VALUE"""),"")</f>
        <v/>
      </c>
      <c r="Y193" s="82"/>
      <c r="Z193" s="83"/>
      <c r="AA193" s="75" t="str">
        <f ca="1">IFERROR(__xludf.DUMMYFUNCTION("""COMPUTED_VALUE"""),"")</f>
        <v/>
      </c>
      <c r="AB193" s="82"/>
      <c r="AC193" s="83"/>
      <c r="AD193" s="75" t="str">
        <f ca="1">IFERROR(__xludf.DUMMYFUNCTION("""COMPUTED_VALUE"""),"")</f>
        <v/>
      </c>
      <c r="AE193" s="82"/>
      <c r="AF193" s="83"/>
      <c r="AG193" s="75" t="str">
        <f ca="1">IFERROR(__xludf.DUMMYFUNCTION("""COMPUTED_VALUE"""),"")</f>
        <v/>
      </c>
      <c r="AH193" s="82"/>
      <c r="AI193" s="83"/>
      <c r="AJ193" s="75" t="str">
        <f ca="1">IFERROR(__xludf.DUMMYFUNCTION("""COMPUTED_VALUE"""),"")</f>
        <v/>
      </c>
      <c r="AK193" s="82"/>
      <c r="AL193" s="83"/>
      <c r="AM193" s="75" t="str">
        <f ca="1">IFERROR(__xludf.DUMMYFUNCTION("""COMPUTED_VALUE"""),"")</f>
        <v/>
      </c>
      <c r="AN193" s="82"/>
      <c r="AO193" s="83"/>
      <c r="AP193" s="75" t="str">
        <f ca="1">IFERROR(__xludf.DUMMYFUNCTION("""COMPUTED_VALUE"""),"")</f>
        <v/>
      </c>
      <c r="AQ193" s="82"/>
      <c r="AR193" s="83"/>
      <c r="AS193" s="75" t="str">
        <f ca="1">IFERROR(__xludf.DUMMYFUNCTION("""COMPUTED_VALUE"""),"")</f>
        <v/>
      </c>
      <c r="AT193" s="82"/>
      <c r="AU193" s="83"/>
      <c r="AV193" s="75" t="str">
        <f ca="1">IFERROR(__xludf.DUMMYFUNCTION("""COMPUTED_VALUE"""),"")</f>
        <v/>
      </c>
      <c r="AW193" s="82"/>
      <c r="AX193" s="83"/>
      <c r="AY193" s="75" t="str">
        <f ca="1">IFERROR(__xludf.DUMMYFUNCTION("""COMPUTED_VALUE"""),"")</f>
        <v/>
      </c>
      <c r="AZ193" s="82"/>
      <c r="BA193" s="83"/>
      <c r="BB193" s="75" t="str">
        <f ca="1">IFERROR(__xludf.DUMMYFUNCTION("""COMPUTED_VALUE"""),"")</f>
        <v/>
      </c>
      <c r="BC193" s="82"/>
      <c r="BD193" s="83"/>
      <c r="BE193" s="75" t="str">
        <f ca="1">IFERROR(__xludf.DUMMYFUNCTION("""COMPUTED_VALUE"""),"")</f>
        <v/>
      </c>
      <c r="BF193" s="82"/>
      <c r="BG193" s="83"/>
      <c r="BH193" s="75" t="str">
        <f ca="1">IFERROR(__xludf.DUMMYFUNCTION("""COMPUTED_VALUE"""),"")</f>
        <v/>
      </c>
      <c r="BI193" s="46"/>
    </row>
    <row r="194" spans="1:61" ht="22.5" customHeight="1" x14ac:dyDescent="0.25">
      <c r="A194" s="46"/>
      <c r="B194" s="85"/>
      <c r="C194" s="75"/>
      <c r="D194" s="75"/>
      <c r="E194" s="75"/>
      <c r="F194" s="76"/>
      <c r="G194" s="77" t="str">
        <f ca="1">IFERROR(__xludf.DUMMYFUNCTION("""COMPUTED_VALUE"""),"")</f>
        <v/>
      </c>
      <c r="H194" s="78" t="str">
        <f ca="1">IFERROR(__xludf.DUMMYFUNCTION("""COMPUTED_VALUE"""),"")</f>
        <v/>
      </c>
      <c r="I194" s="79" t="str">
        <f ca="1">IFERROR(__xludf.DUMMYFUNCTION("""COMPUTED_VALUE"""),"")</f>
        <v/>
      </c>
      <c r="J194" s="264"/>
      <c r="K194" s="82" t="str">
        <f ca="1">IFERROR(__xludf.DUMMYFUNCTION("""COMPUTED_VALUE"""),"")</f>
        <v/>
      </c>
      <c r="L194" s="81" t="str">
        <f ca="1">IFERROR(__xludf.DUMMYFUNCTION("""COMPUTED_VALUE"""),"")</f>
        <v/>
      </c>
      <c r="M194" s="82"/>
      <c r="N194" s="83"/>
      <c r="O194" s="75" t="str">
        <f ca="1">IFERROR(__xludf.DUMMYFUNCTION("""COMPUTED_VALUE"""),"")</f>
        <v/>
      </c>
      <c r="P194" s="82"/>
      <c r="Q194" s="83"/>
      <c r="R194" s="75" t="str">
        <f ca="1">IFERROR(__xludf.DUMMYFUNCTION("""COMPUTED_VALUE"""),"")</f>
        <v/>
      </c>
      <c r="S194" s="82"/>
      <c r="T194" s="83"/>
      <c r="U194" s="75" t="str">
        <f ca="1">IFERROR(__xludf.DUMMYFUNCTION("""COMPUTED_VALUE"""),"")</f>
        <v/>
      </c>
      <c r="V194" s="82"/>
      <c r="W194" s="83"/>
      <c r="X194" s="75" t="str">
        <f ca="1">IFERROR(__xludf.DUMMYFUNCTION("""COMPUTED_VALUE"""),"")</f>
        <v/>
      </c>
      <c r="Y194" s="82"/>
      <c r="Z194" s="83"/>
      <c r="AA194" s="75" t="str">
        <f ca="1">IFERROR(__xludf.DUMMYFUNCTION("""COMPUTED_VALUE"""),"")</f>
        <v/>
      </c>
      <c r="AB194" s="82"/>
      <c r="AC194" s="83"/>
      <c r="AD194" s="75" t="str">
        <f ca="1">IFERROR(__xludf.DUMMYFUNCTION("""COMPUTED_VALUE"""),"")</f>
        <v/>
      </c>
      <c r="AE194" s="82"/>
      <c r="AF194" s="83"/>
      <c r="AG194" s="75" t="str">
        <f ca="1">IFERROR(__xludf.DUMMYFUNCTION("""COMPUTED_VALUE"""),"")</f>
        <v/>
      </c>
      <c r="AH194" s="82"/>
      <c r="AI194" s="83"/>
      <c r="AJ194" s="75" t="str">
        <f ca="1">IFERROR(__xludf.DUMMYFUNCTION("""COMPUTED_VALUE"""),"")</f>
        <v/>
      </c>
      <c r="AK194" s="82"/>
      <c r="AL194" s="83"/>
      <c r="AM194" s="75" t="str">
        <f ca="1">IFERROR(__xludf.DUMMYFUNCTION("""COMPUTED_VALUE"""),"")</f>
        <v/>
      </c>
      <c r="AN194" s="82"/>
      <c r="AO194" s="83"/>
      <c r="AP194" s="75" t="str">
        <f ca="1">IFERROR(__xludf.DUMMYFUNCTION("""COMPUTED_VALUE"""),"")</f>
        <v/>
      </c>
      <c r="AQ194" s="82"/>
      <c r="AR194" s="83"/>
      <c r="AS194" s="75" t="str">
        <f ca="1">IFERROR(__xludf.DUMMYFUNCTION("""COMPUTED_VALUE"""),"")</f>
        <v/>
      </c>
      <c r="AT194" s="82"/>
      <c r="AU194" s="83"/>
      <c r="AV194" s="75" t="str">
        <f ca="1">IFERROR(__xludf.DUMMYFUNCTION("""COMPUTED_VALUE"""),"")</f>
        <v/>
      </c>
      <c r="AW194" s="82"/>
      <c r="AX194" s="83"/>
      <c r="AY194" s="75" t="str">
        <f ca="1">IFERROR(__xludf.DUMMYFUNCTION("""COMPUTED_VALUE"""),"")</f>
        <v/>
      </c>
      <c r="AZ194" s="82"/>
      <c r="BA194" s="83"/>
      <c r="BB194" s="75" t="str">
        <f ca="1">IFERROR(__xludf.DUMMYFUNCTION("""COMPUTED_VALUE"""),"")</f>
        <v/>
      </c>
      <c r="BC194" s="82"/>
      <c r="BD194" s="83"/>
      <c r="BE194" s="75" t="str">
        <f ca="1">IFERROR(__xludf.DUMMYFUNCTION("""COMPUTED_VALUE"""),"")</f>
        <v/>
      </c>
      <c r="BF194" s="82"/>
      <c r="BG194" s="83"/>
      <c r="BH194" s="75" t="str">
        <f ca="1">IFERROR(__xludf.DUMMYFUNCTION("""COMPUTED_VALUE"""),"")</f>
        <v/>
      </c>
      <c r="BI194" s="46"/>
    </row>
    <row r="195" spans="1:61" ht="22.5" customHeight="1" x14ac:dyDescent="0.25">
      <c r="A195" s="46"/>
      <c r="B195" s="85"/>
      <c r="C195" s="75"/>
      <c r="D195" s="75"/>
      <c r="E195" s="75"/>
      <c r="F195" s="76"/>
      <c r="G195" s="77" t="str">
        <f ca="1">IFERROR(__xludf.DUMMYFUNCTION("""COMPUTED_VALUE"""),"")</f>
        <v/>
      </c>
      <c r="H195" s="78" t="str">
        <f ca="1">IFERROR(__xludf.DUMMYFUNCTION("""COMPUTED_VALUE"""),"")</f>
        <v/>
      </c>
      <c r="I195" s="79" t="str">
        <f ca="1">IFERROR(__xludf.DUMMYFUNCTION("""COMPUTED_VALUE"""),"")</f>
        <v/>
      </c>
      <c r="J195" s="264"/>
      <c r="K195" s="82" t="str">
        <f ca="1">IFERROR(__xludf.DUMMYFUNCTION("""COMPUTED_VALUE"""),"")</f>
        <v/>
      </c>
      <c r="L195" s="81" t="str">
        <f ca="1">IFERROR(__xludf.DUMMYFUNCTION("""COMPUTED_VALUE"""),"")</f>
        <v/>
      </c>
      <c r="M195" s="82"/>
      <c r="N195" s="83"/>
      <c r="O195" s="75" t="str">
        <f ca="1">IFERROR(__xludf.DUMMYFUNCTION("""COMPUTED_VALUE"""),"")</f>
        <v/>
      </c>
      <c r="P195" s="82"/>
      <c r="Q195" s="83"/>
      <c r="R195" s="75" t="str">
        <f ca="1">IFERROR(__xludf.DUMMYFUNCTION("""COMPUTED_VALUE"""),"")</f>
        <v/>
      </c>
      <c r="S195" s="82"/>
      <c r="T195" s="83"/>
      <c r="U195" s="75" t="str">
        <f ca="1">IFERROR(__xludf.DUMMYFUNCTION("""COMPUTED_VALUE"""),"")</f>
        <v/>
      </c>
      <c r="V195" s="82"/>
      <c r="W195" s="83"/>
      <c r="X195" s="75" t="str">
        <f ca="1">IFERROR(__xludf.DUMMYFUNCTION("""COMPUTED_VALUE"""),"")</f>
        <v/>
      </c>
      <c r="Y195" s="82"/>
      <c r="Z195" s="83"/>
      <c r="AA195" s="75" t="str">
        <f ca="1">IFERROR(__xludf.DUMMYFUNCTION("""COMPUTED_VALUE"""),"")</f>
        <v/>
      </c>
      <c r="AB195" s="82"/>
      <c r="AC195" s="83"/>
      <c r="AD195" s="75" t="str">
        <f ca="1">IFERROR(__xludf.DUMMYFUNCTION("""COMPUTED_VALUE"""),"")</f>
        <v/>
      </c>
      <c r="AE195" s="82"/>
      <c r="AF195" s="83"/>
      <c r="AG195" s="75" t="str">
        <f ca="1">IFERROR(__xludf.DUMMYFUNCTION("""COMPUTED_VALUE"""),"")</f>
        <v/>
      </c>
      <c r="AH195" s="82"/>
      <c r="AI195" s="83"/>
      <c r="AJ195" s="75" t="str">
        <f ca="1">IFERROR(__xludf.DUMMYFUNCTION("""COMPUTED_VALUE"""),"")</f>
        <v/>
      </c>
      <c r="AK195" s="82"/>
      <c r="AL195" s="83"/>
      <c r="AM195" s="75" t="str">
        <f ca="1">IFERROR(__xludf.DUMMYFUNCTION("""COMPUTED_VALUE"""),"")</f>
        <v/>
      </c>
      <c r="AN195" s="82"/>
      <c r="AO195" s="83"/>
      <c r="AP195" s="75" t="str">
        <f ca="1">IFERROR(__xludf.DUMMYFUNCTION("""COMPUTED_VALUE"""),"")</f>
        <v/>
      </c>
      <c r="AQ195" s="82"/>
      <c r="AR195" s="83"/>
      <c r="AS195" s="75" t="str">
        <f ca="1">IFERROR(__xludf.DUMMYFUNCTION("""COMPUTED_VALUE"""),"")</f>
        <v/>
      </c>
      <c r="AT195" s="82"/>
      <c r="AU195" s="83"/>
      <c r="AV195" s="75" t="str">
        <f ca="1">IFERROR(__xludf.DUMMYFUNCTION("""COMPUTED_VALUE"""),"")</f>
        <v/>
      </c>
      <c r="AW195" s="82"/>
      <c r="AX195" s="83"/>
      <c r="AY195" s="75" t="str">
        <f ca="1">IFERROR(__xludf.DUMMYFUNCTION("""COMPUTED_VALUE"""),"")</f>
        <v/>
      </c>
      <c r="AZ195" s="82"/>
      <c r="BA195" s="83"/>
      <c r="BB195" s="75" t="str">
        <f ca="1">IFERROR(__xludf.DUMMYFUNCTION("""COMPUTED_VALUE"""),"")</f>
        <v/>
      </c>
      <c r="BC195" s="82"/>
      <c r="BD195" s="83"/>
      <c r="BE195" s="75" t="str">
        <f ca="1">IFERROR(__xludf.DUMMYFUNCTION("""COMPUTED_VALUE"""),"")</f>
        <v/>
      </c>
      <c r="BF195" s="82"/>
      <c r="BG195" s="83"/>
      <c r="BH195" s="75" t="str">
        <f ca="1">IFERROR(__xludf.DUMMYFUNCTION("""COMPUTED_VALUE"""),"")</f>
        <v/>
      </c>
      <c r="BI195" s="46"/>
    </row>
    <row r="196" spans="1:61" ht="22.5" customHeight="1" x14ac:dyDescent="0.25">
      <c r="A196" s="46"/>
      <c r="B196" s="85"/>
      <c r="C196" s="75"/>
      <c r="D196" s="75"/>
      <c r="E196" s="75"/>
      <c r="F196" s="76"/>
      <c r="G196" s="77" t="str">
        <f ca="1">IFERROR(__xludf.DUMMYFUNCTION("""COMPUTED_VALUE"""),"")</f>
        <v/>
      </c>
      <c r="H196" s="78" t="str">
        <f ca="1">IFERROR(__xludf.DUMMYFUNCTION("""COMPUTED_VALUE"""),"")</f>
        <v/>
      </c>
      <c r="I196" s="79" t="str">
        <f ca="1">IFERROR(__xludf.DUMMYFUNCTION("""COMPUTED_VALUE"""),"")</f>
        <v/>
      </c>
      <c r="J196" s="264"/>
      <c r="K196" s="82" t="str">
        <f ca="1">IFERROR(__xludf.DUMMYFUNCTION("""COMPUTED_VALUE"""),"")</f>
        <v/>
      </c>
      <c r="L196" s="81" t="str">
        <f ca="1">IFERROR(__xludf.DUMMYFUNCTION("""COMPUTED_VALUE"""),"")</f>
        <v/>
      </c>
      <c r="M196" s="82"/>
      <c r="N196" s="83"/>
      <c r="O196" s="75" t="str">
        <f ca="1">IFERROR(__xludf.DUMMYFUNCTION("""COMPUTED_VALUE"""),"")</f>
        <v/>
      </c>
      <c r="P196" s="82"/>
      <c r="Q196" s="83"/>
      <c r="R196" s="75" t="str">
        <f ca="1">IFERROR(__xludf.DUMMYFUNCTION("""COMPUTED_VALUE"""),"")</f>
        <v/>
      </c>
      <c r="S196" s="82"/>
      <c r="T196" s="83"/>
      <c r="U196" s="75" t="str">
        <f ca="1">IFERROR(__xludf.DUMMYFUNCTION("""COMPUTED_VALUE"""),"")</f>
        <v/>
      </c>
      <c r="V196" s="82"/>
      <c r="W196" s="83"/>
      <c r="X196" s="75" t="str">
        <f ca="1">IFERROR(__xludf.DUMMYFUNCTION("""COMPUTED_VALUE"""),"")</f>
        <v/>
      </c>
      <c r="Y196" s="82"/>
      <c r="Z196" s="83"/>
      <c r="AA196" s="75" t="str">
        <f ca="1">IFERROR(__xludf.DUMMYFUNCTION("""COMPUTED_VALUE"""),"")</f>
        <v/>
      </c>
      <c r="AB196" s="82"/>
      <c r="AC196" s="83"/>
      <c r="AD196" s="75" t="str">
        <f ca="1">IFERROR(__xludf.DUMMYFUNCTION("""COMPUTED_VALUE"""),"")</f>
        <v/>
      </c>
      <c r="AE196" s="82"/>
      <c r="AF196" s="83"/>
      <c r="AG196" s="75" t="str">
        <f ca="1">IFERROR(__xludf.DUMMYFUNCTION("""COMPUTED_VALUE"""),"")</f>
        <v/>
      </c>
      <c r="AH196" s="82"/>
      <c r="AI196" s="83"/>
      <c r="AJ196" s="75" t="str">
        <f ca="1">IFERROR(__xludf.DUMMYFUNCTION("""COMPUTED_VALUE"""),"")</f>
        <v/>
      </c>
      <c r="AK196" s="82"/>
      <c r="AL196" s="83"/>
      <c r="AM196" s="75" t="str">
        <f ca="1">IFERROR(__xludf.DUMMYFUNCTION("""COMPUTED_VALUE"""),"")</f>
        <v/>
      </c>
      <c r="AN196" s="82"/>
      <c r="AO196" s="83"/>
      <c r="AP196" s="75" t="str">
        <f ca="1">IFERROR(__xludf.DUMMYFUNCTION("""COMPUTED_VALUE"""),"")</f>
        <v/>
      </c>
      <c r="AQ196" s="82"/>
      <c r="AR196" s="83"/>
      <c r="AS196" s="75" t="str">
        <f ca="1">IFERROR(__xludf.DUMMYFUNCTION("""COMPUTED_VALUE"""),"")</f>
        <v/>
      </c>
      <c r="AT196" s="82"/>
      <c r="AU196" s="83"/>
      <c r="AV196" s="75" t="str">
        <f ca="1">IFERROR(__xludf.DUMMYFUNCTION("""COMPUTED_VALUE"""),"")</f>
        <v/>
      </c>
      <c r="AW196" s="82"/>
      <c r="AX196" s="83"/>
      <c r="AY196" s="75" t="str">
        <f ca="1">IFERROR(__xludf.DUMMYFUNCTION("""COMPUTED_VALUE"""),"")</f>
        <v/>
      </c>
      <c r="AZ196" s="82"/>
      <c r="BA196" s="83"/>
      <c r="BB196" s="75" t="str">
        <f ca="1">IFERROR(__xludf.DUMMYFUNCTION("""COMPUTED_VALUE"""),"")</f>
        <v/>
      </c>
      <c r="BC196" s="82"/>
      <c r="BD196" s="83"/>
      <c r="BE196" s="75" t="str">
        <f ca="1">IFERROR(__xludf.DUMMYFUNCTION("""COMPUTED_VALUE"""),"")</f>
        <v/>
      </c>
      <c r="BF196" s="82"/>
      <c r="BG196" s="83"/>
      <c r="BH196" s="75" t="str">
        <f ca="1">IFERROR(__xludf.DUMMYFUNCTION("""COMPUTED_VALUE"""),"")</f>
        <v/>
      </c>
      <c r="BI196" s="46"/>
    </row>
    <row r="197" spans="1:61" ht="22.5" customHeight="1" x14ac:dyDescent="0.25">
      <c r="A197" s="46"/>
      <c r="B197" s="85"/>
      <c r="C197" s="75"/>
      <c r="D197" s="75"/>
      <c r="E197" s="75"/>
      <c r="F197" s="76"/>
      <c r="G197" s="77" t="str">
        <f ca="1">IFERROR(__xludf.DUMMYFUNCTION("""COMPUTED_VALUE"""),"")</f>
        <v/>
      </c>
      <c r="H197" s="78" t="str">
        <f ca="1">IFERROR(__xludf.DUMMYFUNCTION("""COMPUTED_VALUE"""),"")</f>
        <v/>
      </c>
      <c r="I197" s="79" t="str">
        <f ca="1">IFERROR(__xludf.DUMMYFUNCTION("""COMPUTED_VALUE"""),"")</f>
        <v/>
      </c>
      <c r="J197" s="264"/>
      <c r="K197" s="82" t="str">
        <f ca="1">IFERROR(__xludf.DUMMYFUNCTION("""COMPUTED_VALUE"""),"")</f>
        <v/>
      </c>
      <c r="L197" s="81" t="str">
        <f ca="1">IFERROR(__xludf.DUMMYFUNCTION("""COMPUTED_VALUE"""),"")</f>
        <v/>
      </c>
      <c r="M197" s="82"/>
      <c r="N197" s="83"/>
      <c r="O197" s="75" t="str">
        <f ca="1">IFERROR(__xludf.DUMMYFUNCTION("""COMPUTED_VALUE"""),"")</f>
        <v/>
      </c>
      <c r="P197" s="82"/>
      <c r="Q197" s="83"/>
      <c r="R197" s="75" t="str">
        <f ca="1">IFERROR(__xludf.DUMMYFUNCTION("""COMPUTED_VALUE"""),"")</f>
        <v/>
      </c>
      <c r="S197" s="82"/>
      <c r="T197" s="83"/>
      <c r="U197" s="75" t="str">
        <f ca="1">IFERROR(__xludf.DUMMYFUNCTION("""COMPUTED_VALUE"""),"")</f>
        <v/>
      </c>
      <c r="V197" s="82"/>
      <c r="W197" s="83"/>
      <c r="X197" s="75" t="str">
        <f ca="1">IFERROR(__xludf.DUMMYFUNCTION("""COMPUTED_VALUE"""),"")</f>
        <v/>
      </c>
      <c r="Y197" s="82"/>
      <c r="Z197" s="83"/>
      <c r="AA197" s="75" t="str">
        <f ca="1">IFERROR(__xludf.DUMMYFUNCTION("""COMPUTED_VALUE"""),"")</f>
        <v/>
      </c>
      <c r="AB197" s="82"/>
      <c r="AC197" s="83"/>
      <c r="AD197" s="75" t="str">
        <f ca="1">IFERROR(__xludf.DUMMYFUNCTION("""COMPUTED_VALUE"""),"")</f>
        <v/>
      </c>
      <c r="AE197" s="82"/>
      <c r="AF197" s="83"/>
      <c r="AG197" s="75" t="str">
        <f ca="1">IFERROR(__xludf.DUMMYFUNCTION("""COMPUTED_VALUE"""),"")</f>
        <v/>
      </c>
      <c r="AH197" s="82"/>
      <c r="AI197" s="83"/>
      <c r="AJ197" s="75" t="str">
        <f ca="1">IFERROR(__xludf.DUMMYFUNCTION("""COMPUTED_VALUE"""),"")</f>
        <v/>
      </c>
      <c r="AK197" s="82"/>
      <c r="AL197" s="83"/>
      <c r="AM197" s="75" t="str">
        <f ca="1">IFERROR(__xludf.DUMMYFUNCTION("""COMPUTED_VALUE"""),"")</f>
        <v/>
      </c>
      <c r="AN197" s="82"/>
      <c r="AO197" s="83"/>
      <c r="AP197" s="75" t="str">
        <f ca="1">IFERROR(__xludf.DUMMYFUNCTION("""COMPUTED_VALUE"""),"")</f>
        <v/>
      </c>
      <c r="AQ197" s="82"/>
      <c r="AR197" s="83"/>
      <c r="AS197" s="75" t="str">
        <f ca="1">IFERROR(__xludf.DUMMYFUNCTION("""COMPUTED_VALUE"""),"")</f>
        <v/>
      </c>
      <c r="AT197" s="82"/>
      <c r="AU197" s="83"/>
      <c r="AV197" s="75" t="str">
        <f ca="1">IFERROR(__xludf.DUMMYFUNCTION("""COMPUTED_VALUE"""),"")</f>
        <v/>
      </c>
      <c r="AW197" s="82"/>
      <c r="AX197" s="83"/>
      <c r="AY197" s="75" t="str">
        <f ca="1">IFERROR(__xludf.DUMMYFUNCTION("""COMPUTED_VALUE"""),"")</f>
        <v/>
      </c>
      <c r="AZ197" s="82"/>
      <c r="BA197" s="83"/>
      <c r="BB197" s="75" t="str">
        <f ca="1">IFERROR(__xludf.DUMMYFUNCTION("""COMPUTED_VALUE"""),"")</f>
        <v/>
      </c>
      <c r="BC197" s="82"/>
      <c r="BD197" s="83"/>
      <c r="BE197" s="75" t="str">
        <f ca="1">IFERROR(__xludf.DUMMYFUNCTION("""COMPUTED_VALUE"""),"")</f>
        <v/>
      </c>
      <c r="BF197" s="82"/>
      <c r="BG197" s="83"/>
      <c r="BH197" s="75" t="str">
        <f ca="1">IFERROR(__xludf.DUMMYFUNCTION("""COMPUTED_VALUE"""),"")</f>
        <v/>
      </c>
      <c r="BI197" s="46"/>
    </row>
    <row r="198" spans="1:61" ht="22.5" customHeight="1" x14ac:dyDescent="0.25">
      <c r="A198" s="46"/>
      <c r="B198" s="85"/>
      <c r="C198" s="75"/>
      <c r="D198" s="75"/>
      <c r="E198" s="75"/>
      <c r="F198" s="76"/>
      <c r="G198" s="77" t="str">
        <f ca="1">IFERROR(__xludf.DUMMYFUNCTION("""COMPUTED_VALUE"""),"")</f>
        <v/>
      </c>
      <c r="H198" s="78" t="str">
        <f ca="1">IFERROR(__xludf.DUMMYFUNCTION("""COMPUTED_VALUE"""),"")</f>
        <v/>
      </c>
      <c r="I198" s="79" t="str">
        <f ca="1">IFERROR(__xludf.DUMMYFUNCTION("""COMPUTED_VALUE"""),"")</f>
        <v/>
      </c>
      <c r="J198" s="264"/>
      <c r="K198" s="82" t="str">
        <f ca="1">IFERROR(__xludf.DUMMYFUNCTION("""COMPUTED_VALUE"""),"")</f>
        <v/>
      </c>
      <c r="L198" s="81" t="str">
        <f ca="1">IFERROR(__xludf.DUMMYFUNCTION("""COMPUTED_VALUE"""),"")</f>
        <v/>
      </c>
      <c r="M198" s="82"/>
      <c r="N198" s="83"/>
      <c r="O198" s="75" t="str">
        <f ca="1">IFERROR(__xludf.DUMMYFUNCTION("""COMPUTED_VALUE"""),"")</f>
        <v/>
      </c>
      <c r="P198" s="82"/>
      <c r="Q198" s="83"/>
      <c r="R198" s="75" t="str">
        <f ca="1">IFERROR(__xludf.DUMMYFUNCTION("""COMPUTED_VALUE"""),"")</f>
        <v/>
      </c>
      <c r="S198" s="82"/>
      <c r="T198" s="83"/>
      <c r="U198" s="75" t="str">
        <f ca="1">IFERROR(__xludf.DUMMYFUNCTION("""COMPUTED_VALUE"""),"")</f>
        <v/>
      </c>
      <c r="V198" s="82"/>
      <c r="W198" s="83"/>
      <c r="X198" s="75" t="str">
        <f ca="1">IFERROR(__xludf.DUMMYFUNCTION("""COMPUTED_VALUE"""),"")</f>
        <v/>
      </c>
      <c r="Y198" s="82"/>
      <c r="Z198" s="83"/>
      <c r="AA198" s="75" t="str">
        <f ca="1">IFERROR(__xludf.DUMMYFUNCTION("""COMPUTED_VALUE"""),"")</f>
        <v/>
      </c>
      <c r="AB198" s="82"/>
      <c r="AC198" s="83"/>
      <c r="AD198" s="75" t="str">
        <f ca="1">IFERROR(__xludf.DUMMYFUNCTION("""COMPUTED_VALUE"""),"")</f>
        <v/>
      </c>
      <c r="AE198" s="82"/>
      <c r="AF198" s="83"/>
      <c r="AG198" s="75" t="str">
        <f ca="1">IFERROR(__xludf.DUMMYFUNCTION("""COMPUTED_VALUE"""),"")</f>
        <v/>
      </c>
      <c r="AH198" s="82"/>
      <c r="AI198" s="83"/>
      <c r="AJ198" s="75" t="str">
        <f ca="1">IFERROR(__xludf.DUMMYFUNCTION("""COMPUTED_VALUE"""),"")</f>
        <v/>
      </c>
      <c r="AK198" s="82"/>
      <c r="AL198" s="83"/>
      <c r="AM198" s="75" t="str">
        <f ca="1">IFERROR(__xludf.DUMMYFUNCTION("""COMPUTED_VALUE"""),"")</f>
        <v/>
      </c>
      <c r="AN198" s="82"/>
      <c r="AO198" s="83"/>
      <c r="AP198" s="75" t="str">
        <f ca="1">IFERROR(__xludf.DUMMYFUNCTION("""COMPUTED_VALUE"""),"")</f>
        <v/>
      </c>
      <c r="AQ198" s="82"/>
      <c r="AR198" s="83"/>
      <c r="AS198" s="75" t="str">
        <f ca="1">IFERROR(__xludf.DUMMYFUNCTION("""COMPUTED_VALUE"""),"")</f>
        <v/>
      </c>
      <c r="AT198" s="82"/>
      <c r="AU198" s="83"/>
      <c r="AV198" s="75" t="str">
        <f ca="1">IFERROR(__xludf.DUMMYFUNCTION("""COMPUTED_VALUE"""),"")</f>
        <v/>
      </c>
      <c r="AW198" s="82"/>
      <c r="AX198" s="83"/>
      <c r="AY198" s="75" t="str">
        <f ca="1">IFERROR(__xludf.DUMMYFUNCTION("""COMPUTED_VALUE"""),"")</f>
        <v/>
      </c>
      <c r="AZ198" s="82"/>
      <c r="BA198" s="83"/>
      <c r="BB198" s="75" t="str">
        <f ca="1">IFERROR(__xludf.DUMMYFUNCTION("""COMPUTED_VALUE"""),"")</f>
        <v/>
      </c>
      <c r="BC198" s="82"/>
      <c r="BD198" s="83"/>
      <c r="BE198" s="75" t="str">
        <f ca="1">IFERROR(__xludf.DUMMYFUNCTION("""COMPUTED_VALUE"""),"")</f>
        <v/>
      </c>
      <c r="BF198" s="82"/>
      <c r="BG198" s="83"/>
      <c r="BH198" s="75" t="str">
        <f ca="1">IFERROR(__xludf.DUMMYFUNCTION("""COMPUTED_VALUE"""),"")</f>
        <v/>
      </c>
      <c r="BI198" s="46"/>
    </row>
    <row r="199" spans="1:61" ht="22.5" customHeight="1" x14ac:dyDescent="0.25">
      <c r="A199" s="46"/>
      <c r="B199" s="85"/>
      <c r="C199" s="75"/>
      <c r="D199" s="75"/>
      <c r="E199" s="75"/>
      <c r="F199" s="76"/>
      <c r="G199" s="77" t="str">
        <f ca="1">IFERROR(__xludf.DUMMYFUNCTION("""COMPUTED_VALUE"""),"")</f>
        <v/>
      </c>
      <c r="H199" s="78" t="str">
        <f ca="1">IFERROR(__xludf.DUMMYFUNCTION("""COMPUTED_VALUE"""),"")</f>
        <v/>
      </c>
      <c r="I199" s="79" t="str">
        <f ca="1">IFERROR(__xludf.DUMMYFUNCTION("""COMPUTED_VALUE"""),"")</f>
        <v/>
      </c>
      <c r="J199" s="264"/>
      <c r="K199" s="82" t="str">
        <f ca="1">IFERROR(__xludf.DUMMYFUNCTION("""COMPUTED_VALUE"""),"")</f>
        <v/>
      </c>
      <c r="L199" s="81" t="str">
        <f ca="1">IFERROR(__xludf.DUMMYFUNCTION("""COMPUTED_VALUE"""),"")</f>
        <v/>
      </c>
      <c r="M199" s="82"/>
      <c r="N199" s="83"/>
      <c r="O199" s="75" t="str">
        <f ca="1">IFERROR(__xludf.DUMMYFUNCTION("""COMPUTED_VALUE"""),"")</f>
        <v/>
      </c>
      <c r="P199" s="82"/>
      <c r="Q199" s="83"/>
      <c r="R199" s="75" t="str">
        <f ca="1">IFERROR(__xludf.DUMMYFUNCTION("""COMPUTED_VALUE"""),"")</f>
        <v/>
      </c>
      <c r="S199" s="82"/>
      <c r="T199" s="83"/>
      <c r="U199" s="75" t="str">
        <f ca="1">IFERROR(__xludf.DUMMYFUNCTION("""COMPUTED_VALUE"""),"")</f>
        <v/>
      </c>
      <c r="V199" s="82"/>
      <c r="W199" s="83"/>
      <c r="X199" s="75" t="str">
        <f ca="1">IFERROR(__xludf.DUMMYFUNCTION("""COMPUTED_VALUE"""),"")</f>
        <v/>
      </c>
      <c r="Y199" s="82"/>
      <c r="Z199" s="83"/>
      <c r="AA199" s="75" t="str">
        <f ca="1">IFERROR(__xludf.DUMMYFUNCTION("""COMPUTED_VALUE"""),"")</f>
        <v/>
      </c>
      <c r="AB199" s="82"/>
      <c r="AC199" s="83"/>
      <c r="AD199" s="75" t="str">
        <f ca="1">IFERROR(__xludf.DUMMYFUNCTION("""COMPUTED_VALUE"""),"")</f>
        <v/>
      </c>
      <c r="AE199" s="82"/>
      <c r="AF199" s="83"/>
      <c r="AG199" s="75" t="str">
        <f ca="1">IFERROR(__xludf.DUMMYFUNCTION("""COMPUTED_VALUE"""),"")</f>
        <v/>
      </c>
      <c r="AH199" s="82"/>
      <c r="AI199" s="83"/>
      <c r="AJ199" s="75" t="str">
        <f ca="1">IFERROR(__xludf.DUMMYFUNCTION("""COMPUTED_VALUE"""),"")</f>
        <v/>
      </c>
      <c r="AK199" s="82"/>
      <c r="AL199" s="83"/>
      <c r="AM199" s="75" t="str">
        <f ca="1">IFERROR(__xludf.DUMMYFUNCTION("""COMPUTED_VALUE"""),"")</f>
        <v/>
      </c>
      <c r="AN199" s="82"/>
      <c r="AO199" s="83"/>
      <c r="AP199" s="75" t="str">
        <f ca="1">IFERROR(__xludf.DUMMYFUNCTION("""COMPUTED_VALUE"""),"")</f>
        <v/>
      </c>
      <c r="AQ199" s="82"/>
      <c r="AR199" s="83"/>
      <c r="AS199" s="75" t="str">
        <f ca="1">IFERROR(__xludf.DUMMYFUNCTION("""COMPUTED_VALUE"""),"")</f>
        <v/>
      </c>
      <c r="AT199" s="82"/>
      <c r="AU199" s="83"/>
      <c r="AV199" s="75" t="str">
        <f ca="1">IFERROR(__xludf.DUMMYFUNCTION("""COMPUTED_VALUE"""),"")</f>
        <v/>
      </c>
      <c r="AW199" s="82"/>
      <c r="AX199" s="83"/>
      <c r="AY199" s="75" t="str">
        <f ca="1">IFERROR(__xludf.DUMMYFUNCTION("""COMPUTED_VALUE"""),"")</f>
        <v/>
      </c>
      <c r="AZ199" s="82"/>
      <c r="BA199" s="83"/>
      <c r="BB199" s="75" t="str">
        <f ca="1">IFERROR(__xludf.DUMMYFUNCTION("""COMPUTED_VALUE"""),"")</f>
        <v/>
      </c>
      <c r="BC199" s="82"/>
      <c r="BD199" s="83"/>
      <c r="BE199" s="75" t="str">
        <f ca="1">IFERROR(__xludf.DUMMYFUNCTION("""COMPUTED_VALUE"""),"")</f>
        <v/>
      </c>
      <c r="BF199" s="82"/>
      <c r="BG199" s="83"/>
      <c r="BH199" s="75" t="str">
        <f ca="1">IFERROR(__xludf.DUMMYFUNCTION("""COMPUTED_VALUE"""),"")</f>
        <v/>
      </c>
      <c r="BI199" s="46"/>
    </row>
    <row r="200" spans="1:61" ht="22.5" customHeight="1" x14ac:dyDescent="0.25">
      <c r="A200" s="46"/>
      <c r="B200" s="85"/>
      <c r="C200" s="75"/>
      <c r="D200" s="75"/>
      <c r="E200" s="75"/>
      <c r="F200" s="76"/>
      <c r="G200" s="77" t="str">
        <f ca="1">IFERROR(__xludf.DUMMYFUNCTION("""COMPUTED_VALUE"""),"")</f>
        <v/>
      </c>
      <c r="H200" s="78" t="str">
        <f ca="1">IFERROR(__xludf.DUMMYFUNCTION("""COMPUTED_VALUE"""),"")</f>
        <v/>
      </c>
      <c r="I200" s="79" t="str">
        <f ca="1">IFERROR(__xludf.DUMMYFUNCTION("""COMPUTED_VALUE"""),"")</f>
        <v/>
      </c>
      <c r="J200" s="264"/>
      <c r="K200" s="82" t="str">
        <f ca="1">IFERROR(__xludf.DUMMYFUNCTION("""COMPUTED_VALUE"""),"")</f>
        <v/>
      </c>
      <c r="L200" s="81" t="str">
        <f ca="1">IFERROR(__xludf.DUMMYFUNCTION("""COMPUTED_VALUE"""),"")</f>
        <v/>
      </c>
      <c r="M200" s="82"/>
      <c r="N200" s="83"/>
      <c r="O200" s="75" t="str">
        <f ca="1">IFERROR(__xludf.DUMMYFUNCTION("""COMPUTED_VALUE"""),"")</f>
        <v/>
      </c>
      <c r="P200" s="82"/>
      <c r="Q200" s="83"/>
      <c r="R200" s="75" t="str">
        <f ca="1">IFERROR(__xludf.DUMMYFUNCTION("""COMPUTED_VALUE"""),"")</f>
        <v/>
      </c>
      <c r="S200" s="82"/>
      <c r="T200" s="83"/>
      <c r="U200" s="75" t="str">
        <f ca="1">IFERROR(__xludf.DUMMYFUNCTION("""COMPUTED_VALUE"""),"")</f>
        <v/>
      </c>
      <c r="V200" s="82"/>
      <c r="W200" s="83"/>
      <c r="X200" s="75" t="str">
        <f ca="1">IFERROR(__xludf.DUMMYFUNCTION("""COMPUTED_VALUE"""),"")</f>
        <v/>
      </c>
      <c r="Y200" s="82"/>
      <c r="Z200" s="83"/>
      <c r="AA200" s="75" t="str">
        <f ca="1">IFERROR(__xludf.DUMMYFUNCTION("""COMPUTED_VALUE"""),"")</f>
        <v/>
      </c>
      <c r="AB200" s="82"/>
      <c r="AC200" s="83"/>
      <c r="AD200" s="75" t="str">
        <f ca="1">IFERROR(__xludf.DUMMYFUNCTION("""COMPUTED_VALUE"""),"")</f>
        <v/>
      </c>
      <c r="AE200" s="82"/>
      <c r="AF200" s="83"/>
      <c r="AG200" s="75" t="str">
        <f ca="1">IFERROR(__xludf.DUMMYFUNCTION("""COMPUTED_VALUE"""),"")</f>
        <v/>
      </c>
      <c r="AH200" s="82"/>
      <c r="AI200" s="83"/>
      <c r="AJ200" s="75" t="str">
        <f ca="1">IFERROR(__xludf.DUMMYFUNCTION("""COMPUTED_VALUE"""),"")</f>
        <v/>
      </c>
      <c r="AK200" s="82"/>
      <c r="AL200" s="83"/>
      <c r="AM200" s="75" t="str">
        <f ca="1">IFERROR(__xludf.DUMMYFUNCTION("""COMPUTED_VALUE"""),"")</f>
        <v/>
      </c>
      <c r="AN200" s="82"/>
      <c r="AO200" s="83"/>
      <c r="AP200" s="75" t="str">
        <f ca="1">IFERROR(__xludf.DUMMYFUNCTION("""COMPUTED_VALUE"""),"")</f>
        <v/>
      </c>
      <c r="AQ200" s="82"/>
      <c r="AR200" s="83"/>
      <c r="AS200" s="75" t="str">
        <f ca="1">IFERROR(__xludf.DUMMYFUNCTION("""COMPUTED_VALUE"""),"")</f>
        <v/>
      </c>
      <c r="AT200" s="82"/>
      <c r="AU200" s="83"/>
      <c r="AV200" s="75" t="str">
        <f ca="1">IFERROR(__xludf.DUMMYFUNCTION("""COMPUTED_VALUE"""),"")</f>
        <v/>
      </c>
      <c r="AW200" s="82"/>
      <c r="AX200" s="83"/>
      <c r="AY200" s="75" t="str">
        <f ca="1">IFERROR(__xludf.DUMMYFUNCTION("""COMPUTED_VALUE"""),"")</f>
        <v/>
      </c>
      <c r="AZ200" s="82"/>
      <c r="BA200" s="83"/>
      <c r="BB200" s="75" t="str">
        <f ca="1">IFERROR(__xludf.DUMMYFUNCTION("""COMPUTED_VALUE"""),"")</f>
        <v/>
      </c>
      <c r="BC200" s="82"/>
      <c r="BD200" s="83"/>
      <c r="BE200" s="75" t="str">
        <f ca="1">IFERROR(__xludf.DUMMYFUNCTION("""COMPUTED_VALUE"""),"")</f>
        <v/>
      </c>
      <c r="BF200" s="82"/>
      <c r="BG200" s="83"/>
      <c r="BH200" s="75" t="str">
        <f ca="1">IFERROR(__xludf.DUMMYFUNCTION("""COMPUTED_VALUE"""),"")</f>
        <v/>
      </c>
      <c r="BI200" s="46"/>
    </row>
    <row r="201" spans="1:61" ht="22.5" customHeight="1" x14ac:dyDescent="0.25">
      <c r="A201" s="46"/>
      <c r="B201" s="85"/>
      <c r="C201" s="75"/>
      <c r="D201" s="75"/>
      <c r="E201" s="75"/>
      <c r="F201" s="76"/>
      <c r="G201" s="77" t="str">
        <f ca="1">IFERROR(__xludf.DUMMYFUNCTION("""COMPUTED_VALUE"""),"")</f>
        <v/>
      </c>
      <c r="H201" s="78" t="str">
        <f ca="1">IFERROR(__xludf.DUMMYFUNCTION("""COMPUTED_VALUE"""),"")</f>
        <v/>
      </c>
      <c r="I201" s="79" t="str">
        <f ca="1">IFERROR(__xludf.DUMMYFUNCTION("""COMPUTED_VALUE"""),"")</f>
        <v/>
      </c>
      <c r="J201" s="264"/>
      <c r="K201" s="82" t="str">
        <f ca="1">IFERROR(__xludf.DUMMYFUNCTION("""COMPUTED_VALUE"""),"")</f>
        <v/>
      </c>
      <c r="L201" s="81" t="str">
        <f ca="1">IFERROR(__xludf.DUMMYFUNCTION("""COMPUTED_VALUE"""),"")</f>
        <v/>
      </c>
      <c r="M201" s="82"/>
      <c r="N201" s="83"/>
      <c r="O201" s="75" t="str">
        <f ca="1">IFERROR(__xludf.DUMMYFUNCTION("""COMPUTED_VALUE"""),"")</f>
        <v/>
      </c>
      <c r="P201" s="82"/>
      <c r="Q201" s="83"/>
      <c r="R201" s="75" t="str">
        <f ca="1">IFERROR(__xludf.DUMMYFUNCTION("""COMPUTED_VALUE"""),"")</f>
        <v/>
      </c>
      <c r="S201" s="82"/>
      <c r="T201" s="83"/>
      <c r="U201" s="75" t="str">
        <f ca="1">IFERROR(__xludf.DUMMYFUNCTION("""COMPUTED_VALUE"""),"")</f>
        <v/>
      </c>
      <c r="V201" s="82"/>
      <c r="W201" s="83"/>
      <c r="X201" s="75" t="str">
        <f ca="1">IFERROR(__xludf.DUMMYFUNCTION("""COMPUTED_VALUE"""),"")</f>
        <v/>
      </c>
      <c r="Y201" s="82"/>
      <c r="Z201" s="83"/>
      <c r="AA201" s="75" t="str">
        <f ca="1">IFERROR(__xludf.DUMMYFUNCTION("""COMPUTED_VALUE"""),"")</f>
        <v/>
      </c>
      <c r="AB201" s="82"/>
      <c r="AC201" s="83"/>
      <c r="AD201" s="75" t="str">
        <f ca="1">IFERROR(__xludf.DUMMYFUNCTION("""COMPUTED_VALUE"""),"")</f>
        <v/>
      </c>
      <c r="AE201" s="82"/>
      <c r="AF201" s="83"/>
      <c r="AG201" s="75" t="str">
        <f ca="1">IFERROR(__xludf.DUMMYFUNCTION("""COMPUTED_VALUE"""),"")</f>
        <v/>
      </c>
      <c r="AH201" s="82"/>
      <c r="AI201" s="83"/>
      <c r="AJ201" s="75" t="str">
        <f ca="1">IFERROR(__xludf.DUMMYFUNCTION("""COMPUTED_VALUE"""),"")</f>
        <v/>
      </c>
      <c r="AK201" s="82"/>
      <c r="AL201" s="83"/>
      <c r="AM201" s="75" t="str">
        <f ca="1">IFERROR(__xludf.DUMMYFUNCTION("""COMPUTED_VALUE"""),"")</f>
        <v/>
      </c>
      <c r="AN201" s="82"/>
      <c r="AO201" s="83"/>
      <c r="AP201" s="75" t="str">
        <f ca="1">IFERROR(__xludf.DUMMYFUNCTION("""COMPUTED_VALUE"""),"")</f>
        <v/>
      </c>
      <c r="AQ201" s="82"/>
      <c r="AR201" s="83"/>
      <c r="AS201" s="75" t="str">
        <f ca="1">IFERROR(__xludf.DUMMYFUNCTION("""COMPUTED_VALUE"""),"")</f>
        <v/>
      </c>
      <c r="AT201" s="82"/>
      <c r="AU201" s="83"/>
      <c r="AV201" s="75" t="str">
        <f ca="1">IFERROR(__xludf.DUMMYFUNCTION("""COMPUTED_VALUE"""),"")</f>
        <v/>
      </c>
      <c r="AW201" s="82"/>
      <c r="AX201" s="83"/>
      <c r="AY201" s="75" t="str">
        <f ca="1">IFERROR(__xludf.DUMMYFUNCTION("""COMPUTED_VALUE"""),"")</f>
        <v/>
      </c>
      <c r="AZ201" s="82"/>
      <c r="BA201" s="83"/>
      <c r="BB201" s="75" t="str">
        <f ca="1">IFERROR(__xludf.DUMMYFUNCTION("""COMPUTED_VALUE"""),"")</f>
        <v/>
      </c>
      <c r="BC201" s="82"/>
      <c r="BD201" s="83"/>
      <c r="BE201" s="75" t="str">
        <f ca="1">IFERROR(__xludf.DUMMYFUNCTION("""COMPUTED_VALUE"""),"")</f>
        <v/>
      </c>
      <c r="BF201" s="82"/>
      <c r="BG201" s="83"/>
      <c r="BH201" s="75" t="str">
        <f ca="1">IFERROR(__xludf.DUMMYFUNCTION("""COMPUTED_VALUE"""),"")</f>
        <v/>
      </c>
      <c r="BI201" s="46"/>
    </row>
    <row r="202" spans="1:61" ht="22.5" customHeight="1" x14ac:dyDescent="0.25">
      <c r="A202" s="46"/>
      <c r="B202" s="85"/>
      <c r="C202" s="75"/>
      <c r="D202" s="75"/>
      <c r="E202" s="75"/>
      <c r="F202" s="76"/>
      <c r="G202" s="77" t="str">
        <f ca="1">IFERROR(__xludf.DUMMYFUNCTION("""COMPUTED_VALUE"""),"")</f>
        <v/>
      </c>
      <c r="H202" s="78" t="str">
        <f ca="1">IFERROR(__xludf.DUMMYFUNCTION("""COMPUTED_VALUE"""),"")</f>
        <v/>
      </c>
      <c r="I202" s="79" t="str">
        <f ca="1">IFERROR(__xludf.DUMMYFUNCTION("""COMPUTED_VALUE"""),"")</f>
        <v/>
      </c>
      <c r="J202" s="264"/>
      <c r="K202" s="82" t="str">
        <f ca="1">IFERROR(__xludf.DUMMYFUNCTION("""COMPUTED_VALUE"""),"")</f>
        <v/>
      </c>
      <c r="L202" s="81" t="str">
        <f ca="1">IFERROR(__xludf.DUMMYFUNCTION("""COMPUTED_VALUE"""),"")</f>
        <v/>
      </c>
      <c r="M202" s="82"/>
      <c r="N202" s="83"/>
      <c r="O202" s="75" t="str">
        <f ca="1">IFERROR(__xludf.DUMMYFUNCTION("""COMPUTED_VALUE"""),"")</f>
        <v/>
      </c>
      <c r="P202" s="82"/>
      <c r="Q202" s="83"/>
      <c r="R202" s="75" t="str">
        <f ca="1">IFERROR(__xludf.DUMMYFUNCTION("""COMPUTED_VALUE"""),"")</f>
        <v/>
      </c>
      <c r="S202" s="82"/>
      <c r="T202" s="83"/>
      <c r="U202" s="75" t="str">
        <f ca="1">IFERROR(__xludf.DUMMYFUNCTION("""COMPUTED_VALUE"""),"")</f>
        <v/>
      </c>
      <c r="V202" s="82"/>
      <c r="W202" s="83"/>
      <c r="X202" s="75" t="str">
        <f ca="1">IFERROR(__xludf.DUMMYFUNCTION("""COMPUTED_VALUE"""),"")</f>
        <v/>
      </c>
      <c r="Y202" s="82"/>
      <c r="Z202" s="83"/>
      <c r="AA202" s="75" t="str">
        <f ca="1">IFERROR(__xludf.DUMMYFUNCTION("""COMPUTED_VALUE"""),"")</f>
        <v/>
      </c>
      <c r="AB202" s="82"/>
      <c r="AC202" s="83"/>
      <c r="AD202" s="75" t="str">
        <f ca="1">IFERROR(__xludf.DUMMYFUNCTION("""COMPUTED_VALUE"""),"")</f>
        <v/>
      </c>
      <c r="AE202" s="82"/>
      <c r="AF202" s="83"/>
      <c r="AG202" s="75" t="str">
        <f ca="1">IFERROR(__xludf.DUMMYFUNCTION("""COMPUTED_VALUE"""),"")</f>
        <v/>
      </c>
      <c r="AH202" s="82"/>
      <c r="AI202" s="83"/>
      <c r="AJ202" s="75" t="str">
        <f ca="1">IFERROR(__xludf.DUMMYFUNCTION("""COMPUTED_VALUE"""),"")</f>
        <v/>
      </c>
      <c r="AK202" s="82"/>
      <c r="AL202" s="83"/>
      <c r="AM202" s="75" t="str">
        <f ca="1">IFERROR(__xludf.DUMMYFUNCTION("""COMPUTED_VALUE"""),"")</f>
        <v/>
      </c>
      <c r="AN202" s="82"/>
      <c r="AO202" s="83"/>
      <c r="AP202" s="75" t="str">
        <f ca="1">IFERROR(__xludf.DUMMYFUNCTION("""COMPUTED_VALUE"""),"")</f>
        <v/>
      </c>
      <c r="AQ202" s="82"/>
      <c r="AR202" s="83"/>
      <c r="AS202" s="75" t="str">
        <f ca="1">IFERROR(__xludf.DUMMYFUNCTION("""COMPUTED_VALUE"""),"")</f>
        <v/>
      </c>
      <c r="AT202" s="82"/>
      <c r="AU202" s="83"/>
      <c r="AV202" s="75" t="str">
        <f ca="1">IFERROR(__xludf.DUMMYFUNCTION("""COMPUTED_VALUE"""),"")</f>
        <v/>
      </c>
      <c r="AW202" s="82"/>
      <c r="AX202" s="83"/>
      <c r="AY202" s="75" t="str">
        <f ca="1">IFERROR(__xludf.DUMMYFUNCTION("""COMPUTED_VALUE"""),"")</f>
        <v/>
      </c>
      <c r="AZ202" s="82"/>
      <c r="BA202" s="83"/>
      <c r="BB202" s="75" t="str">
        <f ca="1">IFERROR(__xludf.DUMMYFUNCTION("""COMPUTED_VALUE"""),"")</f>
        <v/>
      </c>
      <c r="BC202" s="82"/>
      <c r="BD202" s="83"/>
      <c r="BE202" s="75" t="str">
        <f ca="1">IFERROR(__xludf.DUMMYFUNCTION("""COMPUTED_VALUE"""),"")</f>
        <v/>
      </c>
      <c r="BF202" s="82"/>
      <c r="BG202" s="83"/>
      <c r="BH202" s="75" t="str">
        <f ca="1">IFERROR(__xludf.DUMMYFUNCTION("""COMPUTED_VALUE"""),"")</f>
        <v/>
      </c>
      <c r="BI202" s="46"/>
    </row>
    <row r="203" spans="1:61" ht="22.5" customHeight="1" x14ac:dyDescent="0.25">
      <c r="A203" s="46"/>
      <c r="B203" s="85"/>
      <c r="C203" s="75"/>
      <c r="D203" s="75"/>
      <c r="E203" s="75"/>
      <c r="F203" s="76"/>
      <c r="G203" s="77" t="str">
        <f ca="1">IFERROR(__xludf.DUMMYFUNCTION("""COMPUTED_VALUE"""),"")</f>
        <v/>
      </c>
      <c r="H203" s="78" t="str">
        <f ca="1">IFERROR(__xludf.DUMMYFUNCTION("""COMPUTED_VALUE"""),"")</f>
        <v/>
      </c>
      <c r="I203" s="79" t="str">
        <f ca="1">IFERROR(__xludf.DUMMYFUNCTION("""COMPUTED_VALUE"""),"")</f>
        <v/>
      </c>
      <c r="J203" s="264"/>
      <c r="K203" s="82" t="str">
        <f ca="1">IFERROR(__xludf.DUMMYFUNCTION("""COMPUTED_VALUE"""),"")</f>
        <v/>
      </c>
      <c r="L203" s="81" t="str">
        <f ca="1">IFERROR(__xludf.DUMMYFUNCTION("""COMPUTED_VALUE"""),"")</f>
        <v/>
      </c>
      <c r="M203" s="82"/>
      <c r="N203" s="83"/>
      <c r="O203" s="75" t="str">
        <f ca="1">IFERROR(__xludf.DUMMYFUNCTION("""COMPUTED_VALUE"""),"")</f>
        <v/>
      </c>
      <c r="P203" s="82"/>
      <c r="Q203" s="83"/>
      <c r="R203" s="75" t="str">
        <f ca="1">IFERROR(__xludf.DUMMYFUNCTION("""COMPUTED_VALUE"""),"")</f>
        <v/>
      </c>
      <c r="S203" s="82"/>
      <c r="T203" s="83"/>
      <c r="U203" s="75" t="str">
        <f ca="1">IFERROR(__xludf.DUMMYFUNCTION("""COMPUTED_VALUE"""),"")</f>
        <v/>
      </c>
      <c r="V203" s="82"/>
      <c r="W203" s="83"/>
      <c r="X203" s="75" t="str">
        <f ca="1">IFERROR(__xludf.DUMMYFUNCTION("""COMPUTED_VALUE"""),"")</f>
        <v/>
      </c>
      <c r="Y203" s="82"/>
      <c r="Z203" s="83"/>
      <c r="AA203" s="75" t="str">
        <f ca="1">IFERROR(__xludf.DUMMYFUNCTION("""COMPUTED_VALUE"""),"")</f>
        <v/>
      </c>
      <c r="AB203" s="82"/>
      <c r="AC203" s="83"/>
      <c r="AD203" s="75" t="str">
        <f ca="1">IFERROR(__xludf.DUMMYFUNCTION("""COMPUTED_VALUE"""),"")</f>
        <v/>
      </c>
      <c r="AE203" s="82"/>
      <c r="AF203" s="83"/>
      <c r="AG203" s="75" t="str">
        <f ca="1">IFERROR(__xludf.DUMMYFUNCTION("""COMPUTED_VALUE"""),"")</f>
        <v/>
      </c>
      <c r="AH203" s="82"/>
      <c r="AI203" s="83"/>
      <c r="AJ203" s="75" t="str">
        <f ca="1">IFERROR(__xludf.DUMMYFUNCTION("""COMPUTED_VALUE"""),"")</f>
        <v/>
      </c>
      <c r="AK203" s="82"/>
      <c r="AL203" s="83"/>
      <c r="AM203" s="75" t="str">
        <f ca="1">IFERROR(__xludf.DUMMYFUNCTION("""COMPUTED_VALUE"""),"")</f>
        <v/>
      </c>
      <c r="AN203" s="82"/>
      <c r="AO203" s="83"/>
      <c r="AP203" s="75" t="str">
        <f ca="1">IFERROR(__xludf.DUMMYFUNCTION("""COMPUTED_VALUE"""),"")</f>
        <v/>
      </c>
      <c r="AQ203" s="82"/>
      <c r="AR203" s="83"/>
      <c r="AS203" s="75" t="str">
        <f ca="1">IFERROR(__xludf.DUMMYFUNCTION("""COMPUTED_VALUE"""),"")</f>
        <v/>
      </c>
      <c r="AT203" s="82"/>
      <c r="AU203" s="83"/>
      <c r="AV203" s="75" t="str">
        <f ca="1">IFERROR(__xludf.DUMMYFUNCTION("""COMPUTED_VALUE"""),"")</f>
        <v/>
      </c>
      <c r="AW203" s="82"/>
      <c r="AX203" s="83"/>
      <c r="AY203" s="75" t="str">
        <f ca="1">IFERROR(__xludf.DUMMYFUNCTION("""COMPUTED_VALUE"""),"")</f>
        <v/>
      </c>
      <c r="AZ203" s="82"/>
      <c r="BA203" s="83"/>
      <c r="BB203" s="75" t="str">
        <f ca="1">IFERROR(__xludf.DUMMYFUNCTION("""COMPUTED_VALUE"""),"")</f>
        <v/>
      </c>
      <c r="BC203" s="82"/>
      <c r="BD203" s="83"/>
      <c r="BE203" s="75" t="str">
        <f ca="1">IFERROR(__xludf.DUMMYFUNCTION("""COMPUTED_VALUE"""),"")</f>
        <v/>
      </c>
      <c r="BF203" s="82"/>
      <c r="BG203" s="83"/>
      <c r="BH203" s="75" t="str">
        <f ca="1">IFERROR(__xludf.DUMMYFUNCTION("""COMPUTED_VALUE"""),"")</f>
        <v/>
      </c>
      <c r="BI203" s="46"/>
    </row>
    <row r="204" spans="1:61" ht="22.5" customHeight="1" x14ac:dyDescent="0.25">
      <c r="A204" s="46"/>
      <c r="B204" s="85"/>
      <c r="C204" s="75"/>
      <c r="D204" s="75"/>
      <c r="E204" s="75"/>
      <c r="F204" s="76"/>
      <c r="G204" s="77" t="str">
        <f ca="1">IFERROR(__xludf.DUMMYFUNCTION("""COMPUTED_VALUE"""),"")</f>
        <v/>
      </c>
      <c r="H204" s="78" t="str">
        <f ca="1">IFERROR(__xludf.DUMMYFUNCTION("""COMPUTED_VALUE"""),"")</f>
        <v/>
      </c>
      <c r="I204" s="79" t="str">
        <f ca="1">IFERROR(__xludf.DUMMYFUNCTION("""COMPUTED_VALUE"""),"")</f>
        <v/>
      </c>
      <c r="J204" s="264"/>
      <c r="K204" s="82" t="str">
        <f ca="1">IFERROR(__xludf.DUMMYFUNCTION("""COMPUTED_VALUE"""),"")</f>
        <v/>
      </c>
      <c r="L204" s="81" t="str">
        <f ca="1">IFERROR(__xludf.DUMMYFUNCTION("""COMPUTED_VALUE"""),"")</f>
        <v/>
      </c>
      <c r="M204" s="82"/>
      <c r="N204" s="83"/>
      <c r="O204" s="75" t="str">
        <f ca="1">IFERROR(__xludf.DUMMYFUNCTION("""COMPUTED_VALUE"""),"")</f>
        <v/>
      </c>
      <c r="P204" s="82"/>
      <c r="Q204" s="83"/>
      <c r="R204" s="75" t="str">
        <f ca="1">IFERROR(__xludf.DUMMYFUNCTION("""COMPUTED_VALUE"""),"")</f>
        <v/>
      </c>
      <c r="S204" s="82"/>
      <c r="T204" s="83"/>
      <c r="U204" s="75" t="str">
        <f ca="1">IFERROR(__xludf.DUMMYFUNCTION("""COMPUTED_VALUE"""),"")</f>
        <v/>
      </c>
      <c r="V204" s="82"/>
      <c r="W204" s="83"/>
      <c r="X204" s="75" t="str">
        <f ca="1">IFERROR(__xludf.DUMMYFUNCTION("""COMPUTED_VALUE"""),"")</f>
        <v/>
      </c>
      <c r="Y204" s="82"/>
      <c r="Z204" s="83"/>
      <c r="AA204" s="75" t="str">
        <f ca="1">IFERROR(__xludf.DUMMYFUNCTION("""COMPUTED_VALUE"""),"")</f>
        <v/>
      </c>
      <c r="AB204" s="82"/>
      <c r="AC204" s="83"/>
      <c r="AD204" s="75" t="str">
        <f ca="1">IFERROR(__xludf.DUMMYFUNCTION("""COMPUTED_VALUE"""),"")</f>
        <v/>
      </c>
      <c r="AE204" s="82"/>
      <c r="AF204" s="83"/>
      <c r="AG204" s="75" t="str">
        <f ca="1">IFERROR(__xludf.DUMMYFUNCTION("""COMPUTED_VALUE"""),"")</f>
        <v/>
      </c>
      <c r="AH204" s="82"/>
      <c r="AI204" s="83"/>
      <c r="AJ204" s="75" t="str">
        <f ca="1">IFERROR(__xludf.DUMMYFUNCTION("""COMPUTED_VALUE"""),"")</f>
        <v/>
      </c>
      <c r="AK204" s="82"/>
      <c r="AL204" s="83"/>
      <c r="AM204" s="75" t="str">
        <f ca="1">IFERROR(__xludf.DUMMYFUNCTION("""COMPUTED_VALUE"""),"")</f>
        <v/>
      </c>
      <c r="AN204" s="82"/>
      <c r="AO204" s="83"/>
      <c r="AP204" s="75" t="str">
        <f ca="1">IFERROR(__xludf.DUMMYFUNCTION("""COMPUTED_VALUE"""),"")</f>
        <v/>
      </c>
      <c r="AQ204" s="82"/>
      <c r="AR204" s="83"/>
      <c r="AS204" s="75" t="str">
        <f ca="1">IFERROR(__xludf.DUMMYFUNCTION("""COMPUTED_VALUE"""),"")</f>
        <v/>
      </c>
      <c r="AT204" s="82"/>
      <c r="AU204" s="83"/>
      <c r="AV204" s="75" t="str">
        <f ca="1">IFERROR(__xludf.DUMMYFUNCTION("""COMPUTED_VALUE"""),"")</f>
        <v/>
      </c>
      <c r="AW204" s="82"/>
      <c r="AX204" s="83"/>
      <c r="AY204" s="75" t="str">
        <f ca="1">IFERROR(__xludf.DUMMYFUNCTION("""COMPUTED_VALUE"""),"")</f>
        <v/>
      </c>
      <c r="AZ204" s="82"/>
      <c r="BA204" s="83"/>
      <c r="BB204" s="75" t="str">
        <f ca="1">IFERROR(__xludf.DUMMYFUNCTION("""COMPUTED_VALUE"""),"")</f>
        <v/>
      </c>
      <c r="BC204" s="82"/>
      <c r="BD204" s="83"/>
      <c r="BE204" s="75" t="str">
        <f ca="1">IFERROR(__xludf.DUMMYFUNCTION("""COMPUTED_VALUE"""),"")</f>
        <v/>
      </c>
      <c r="BF204" s="82"/>
      <c r="BG204" s="83"/>
      <c r="BH204" s="75" t="str">
        <f ca="1">IFERROR(__xludf.DUMMYFUNCTION("""COMPUTED_VALUE"""),"")</f>
        <v/>
      </c>
      <c r="BI204" s="46"/>
    </row>
    <row r="205" spans="1:61" ht="22.5" customHeight="1" x14ac:dyDescent="0.25">
      <c r="A205" s="46"/>
      <c r="B205" s="85"/>
      <c r="C205" s="75"/>
      <c r="D205" s="75"/>
      <c r="E205" s="75"/>
      <c r="F205" s="76"/>
      <c r="G205" s="77" t="str">
        <f ca="1">IFERROR(__xludf.DUMMYFUNCTION("""COMPUTED_VALUE"""),"")</f>
        <v/>
      </c>
      <c r="H205" s="78" t="str">
        <f ca="1">IFERROR(__xludf.DUMMYFUNCTION("""COMPUTED_VALUE"""),"")</f>
        <v/>
      </c>
      <c r="I205" s="79" t="str">
        <f ca="1">IFERROR(__xludf.DUMMYFUNCTION("""COMPUTED_VALUE"""),"")</f>
        <v/>
      </c>
      <c r="J205" s="264"/>
      <c r="K205" s="82" t="str">
        <f ca="1">IFERROR(__xludf.DUMMYFUNCTION("""COMPUTED_VALUE"""),"")</f>
        <v/>
      </c>
      <c r="L205" s="81" t="str">
        <f ca="1">IFERROR(__xludf.DUMMYFUNCTION("""COMPUTED_VALUE"""),"")</f>
        <v/>
      </c>
      <c r="M205" s="82"/>
      <c r="N205" s="83"/>
      <c r="O205" s="75" t="str">
        <f ca="1">IFERROR(__xludf.DUMMYFUNCTION("""COMPUTED_VALUE"""),"")</f>
        <v/>
      </c>
      <c r="P205" s="82"/>
      <c r="Q205" s="83"/>
      <c r="R205" s="75" t="str">
        <f ca="1">IFERROR(__xludf.DUMMYFUNCTION("""COMPUTED_VALUE"""),"")</f>
        <v/>
      </c>
      <c r="S205" s="82"/>
      <c r="T205" s="83"/>
      <c r="U205" s="75" t="str">
        <f ca="1">IFERROR(__xludf.DUMMYFUNCTION("""COMPUTED_VALUE"""),"")</f>
        <v/>
      </c>
      <c r="V205" s="82"/>
      <c r="W205" s="83"/>
      <c r="X205" s="75" t="str">
        <f ca="1">IFERROR(__xludf.DUMMYFUNCTION("""COMPUTED_VALUE"""),"")</f>
        <v/>
      </c>
      <c r="Y205" s="82"/>
      <c r="Z205" s="83"/>
      <c r="AA205" s="75" t="str">
        <f ca="1">IFERROR(__xludf.DUMMYFUNCTION("""COMPUTED_VALUE"""),"")</f>
        <v/>
      </c>
      <c r="AB205" s="82"/>
      <c r="AC205" s="83"/>
      <c r="AD205" s="75" t="str">
        <f ca="1">IFERROR(__xludf.DUMMYFUNCTION("""COMPUTED_VALUE"""),"")</f>
        <v/>
      </c>
      <c r="AE205" s="82"/>
      <c r="AF205" s="83"/>
      <c r="AG205" s="75" t="str">
        <f ca="1">IFERROR(__xludf.DUMMYFUNCTION("""COMPUTED_VALUE"""),"")</f>
        <v/>
      </c>
      <c r="AH205" s="82"/>
      <c r="AI205" s="83"/>
      <c r="AJ205" s="75" t="str">
        <f ca="1">IFERROR(__xludf.DUMMYFUNCTION("""COMPUTED_VALUE"""),"")</f>
        <v/>
      </c>
      <c r="AK205" s="82"/>
      <c r="AL205" s="83"/>
      <c r="AM205" s="75" t="str">
        <f ca="1">IFERROR(__xludf.DUMMYFUNCTION("""COMPUTED_VALUE"""),"")</f>
        <v/>
      </c>
      <c r="AN205" s="82"/>
      <c r="AO205" s="83"/>
      <c r="AP205" s="75" t="str">
        <f ca="1">IFERROR(__xludf.DUMMYFUNCTION("""COMPUTED_VALUE"""),"")</f>
        <v/>
      </c>
      <c r="AQ205" s="82"/>
      <c r="AR205" s="83"/>
      <c r="AS205" s="75" t="str">
        <f ca="1">IFERROR(__xludf.DUMMYFUNCTION("""COMPUTED_VALUE"""),"")</f>
        <v/>
      </c>
      <c r="AT205" s="82"/>
      <c r="AU205" s="83"/>
      <c r="AV205" s="75" t="str">
        <f ca="1">IFERROR(__xludf.DUMMYFUNCTION("""COMPUTED_VALUE"""),"")</f>
        <v/>
      </c>
      <c r="AW205" s="82"/>
      <c r="AX205" s="83"/>
      <c r="AY205" s="75" t="str">
        <f ca="1">IFERROR(__xludf.DUMMYFUNCTION("""COMPUTED_VALUE"""),"")</f>
        <v/>
      </c>
      <c r="AZ205" s="82"/>
      <c r="BA205" s="83"/>
      <c r="BB205" s="75" t="str">
        <f ca="1">IFERROR(__xludf.DUMMYFUNCTION("""COMPUTED_VALUE"""),"")</f>
        <v/>
      </c>
      <c r="BC205" s="82"/>
      <c r="BD205" s="83"/>
      <c r="BE205" s="75" t="str">
        <f ca="1">IFERROR(__xludf.DUMMYFUNCTION("""COMPUTED_VALUE"""),"")</f>
        <v/>
      </c>
      <c r="BF205" s="82"/>
      <c r="BG205" s="83"/>
      <c r="BH205" s="75" t="str">
        <f ca="1">IFERROR(__xludf.DUMMYFUNCTION("""COMPUTED_VALUE"""),"")</f>
        <v/>
      </c>
      <c r="BI205" s="46"/>
    </row>
    <row r="206" spans="1:61" ht="22.5" customHeight="1" x14ac:dyDescent="0.25">
      <c r="A206" s="46"/>
      <c r="B206" s="85"/>
      <c r="C206" s="75"/>
      <c r="D206" s="75"/>
      <c r="E206" s="75"/>
      <c r="F206" s="76"/>
      <c r="G206" s="77" t="str">
        <f ca="1">IFERROR(__xludf.DUMMYFUNCTION("""COMPUTED_VALUE"""),"")</f>
        <v/>
      </c>
      <c r="H206" s="78" t="str">
        <f ca="1">IFERROR(__xludf.DUMMYFUNCTION("""COMPUTED_VALUE"""),"")</f>
        <v/>
      </c>
      <c r="I206" s="79" t="str">
        <f ca="1">IFERROR(__xludf.DUMMYFUNCTION("""COMPUTED_VALUE"""),"")</f>
        <v/>
      </c>
      <c r="J206" s="264"/>
      <c r="K206" s="82" t="str">
        <f ca="1">IFERROR(__xludf.DUMMYFUNCTION("""COMPUTED_VALUE"""),"")</f>
        <v/>
      </c>
      <c r="L206" s="81" t="str">
        <f ca="1">IFERROR(__xludf.DUMMYFUNCTION("""COMPUTED_VALUE"""),"")</f>
        <v/>
      </c>
      <c r="M206" s="82"/>
      <c r="N206" s="83"/>
      <c r="O206" s="75" t="str">
        <f ca="1">IFERROR(__xludf.DUMMYFUNCTION("""COMPUTED_VALUE"""),"")</f>
        <v/>
      </c>
      <c r="P206" s="82"/>
      <c r="Q206" s="83"/>
      <c r="R206" s="75" t="str">
        <f ca="1">IFERROR(__xludf.DUMMYFUNCTION("""COMPUTED_VALUE"""),"")</f>
        <v/>
      </c>
      <c r="S206" s="82"/>
      <c r="T206" s="83"/>
      <c r="U206" s="75" t="str">
        <f ca="1">IFERROR(__xludf.DUMMYFUNCTION("""COMPUTED_VALUE"""),"")</f>
        <v/>
      </c>
      <c r="V206" s="82"/>
      <c r="W206" s="83"/>
      <c r="X206" s="75" t="str">
        <f ca="1">IFERROR(__xludf.DUMMYFUNCTION("""COMPUTED_VALUE"""),"")</f>
        <v/>
      </c>
      <c r="Y206" s="82"/>
      <c r="Z206" s="83"/>
      <c r="AA206" s="75" t="str">
        <f ca="1">IFERROR(__xludf.DUMMYFUNCTION("""COMPUTED_VALUE"""),"")</f>
        <v/>
      </c>
      <c r="AB206" s="82"/>
      <c r="AC206" s="83"/>
      <c r="AD206" s="75" t="str">
        <f ca="1">IFERROR(__xludf.DUMMYFUNCTION("""COMPUTED_VALUE"""),"")</f>
        <v/>
      </c>
      <c r="AE206" s="82"/>
      <c r="AF206" s="83"/>
      <c r="AG206" s="75" t="str">
        <f ca="1">IFERROR(__xludf.DUMMYFUNCTION("""COMPUTED_VALUE"""),"")</f>
        <v/>
      </c>
      <c r="AH206" s="82"/>
      <c r="AI206" s="83"/>
      <c r="AJ206" s="75" t="str">
        <f ca="1">IFERROR(__xludf.DUMMYFUNCTION("""COMPUTED_VALUE"""),"")</f>
        <v/>
      </c>
      <c r="AK206" s="82"/>
      <c r="AL206" s="83"/>
      <c r="AM206" s="75" t="str">
        <f ca="1">IFERROR(__xludf.DUMMYFUNCTION("""COMPUTED_VALUE"""),"")</f>
        <v/>
      </c>
      <c r="AN206" s="82"/>
      <c r="AO206" s="83"/>
      <c r="AP206" s="75" t="str">
        <f ca="1">IFERROR(__xludf.DUMMYFUNCTION("""COMPUTED_VALUE"""),"")</f>
        <v/>
      </c>
      <c r="AQ206" s="82"/>
      <c r="AR206" s="83"/>
      <c r="AS206" s="75" t="str">
        <f ca="1">IFERROR(__xludf.DUMMYFUNCTION("""COMPUTED_VALUE"""),"")</f>
        <v/>
      </c>
      <c r="AT206" s="82"/>
      <c r="AU206" s="83"/>
      <c r="AV206" s="75" t="str">
        <f ca="1">IFERROR(__xludf.DUMMYFUNCTION("""COMPUTED_VALUE"""),"")</f>
        <v/>
      </c>
      <c r="AW206" s="82"/>
      <c r="AX206" s="83"/>
      <c r="AY206" s="75" t="str">
        <f ca="1">IFERROR(__xludf.DUMMYFUNCTION("""COMPUTED_VALUE"""),"")</f>
        <v/>
      </c>
      <c r="AZ206" s="82"/>
      <c r="BA206" s="83"/>
      <c r="BB206" s="75" t="str">
        <f ca="1">IFERROR(__xludf.DUMMYFUNCTION("""COMPUTED_VALUE"""),"")</f>
        <v/>
      </c>
      <c r="BC206" s="82"/>
      <c r="BD206" s="83"/>
      <c r="BE206" s="75" t="str">
        <f ca="1">IFERROR(__xludf.DUMMYFUNCTION("""COMPUTED_VALUE"""),"")</f>
        <v/>
      </c>
      <c r="BF206" s="82"/>
      <c r="BG206" s="83"/>
      <c r="BH206" s="75" t="str">
        <f ca="1">IFERROR(__xludf.DUMMYFUNCTION("""COMPUTED_VALUE"""),"")</f>
        <v/>
      </c>
      <c r="BI206" s="46"/>
    </row>
    <row r="207" spans="1:61" ht="22.5" customHeight="1" x14ac:dyDescent="0.25">
      <c r="A207" s="46"/>
      <c r="B207" s="85"/>
      <c r="C207" s="75"/>
      <c r="D207" s="75"/>
      <c r="E207" s="75"/>
      <c r="F207" s="76"/>
      <c r="G207" s="77" t="str">
        <f ca="1">IFERROR(__xludf.DUMMYFUNCTION("""COMPUTED_VALUE"""),"")</f>
        <v/>
      </c>
      <c r="H207" s="78" t="str">
        <f ca="1">IFERROR(__xludf.DUMMYFUNCTION("""COMPUTED_VALUE"""),"")</f>
        <v/>
      </c>
      <c r="I207" s="79" t="str">
        <f ca="1">IFERROR(__xludf.DUMMYFUNCTION("""COMPUTED_VALUE"""),"")</f>
        <v/>
      </c>
      <c r="J207" s="264"/>
      <c r="K207" s="82" t="str">
        <f ca="1">IFERROR(__xludf.DUMMYFUNCTION("""COMPUTED_VALUE"""),"")</f>
        <v/>
      </c>
      <c r="L207" s="81" t="str">
        <f ca="1">IFERROR(__xludf.DUMMYFUNCTION("""COMPUTED_VALUE"""),"")</f>
        <v/>
      </c>
      <c r="M207" s="82"/>
      <c r="N207" s="83"/>
      <c r="O207" s="75" t="str">
        <f ca="1">IFERROR(__xludf.DUMMYFUNCTION("""COMPUTED_VALUE"""),"")</f>
        <v/>
      </c>
      <c r="P207" s="82"/>
      <c r="Q207" s="83"/>
      <c r="R207" s="75" t="str">
        <f ca="1">IFERROR(__xludf.DUMMYFUNCTION("""COMPUTED_VALUE"""),"")</f>
        <v/>
      </c>
      <c r="S207" s="82"/>
      <c r="T207" s="83"/>
      <c r="U207" s="75" t="str">
        <f ca="1">IFERROR(__xludf.DUMMYFUNCTION("""COMPUTED_VALUE"""),"")</f>
        <v/>
      </c>
      <c r="V207" s="82"/>
      <c r="W207" s="83"/>
      <c r="X207" s="75" t="str">
        <f ca="1">IFERROR(__xludf.DUMMYFUNCTION("""COMPUTED_VALUE"""),"")</f>
        <v/>
      </c>
      <c r="Y207" s="82"/>
      <c r="Z207" s="83"/>
      <c r="AA207" s="75" t="str">
        <f ca="1">IFERROR(__xludf.DUMMYFUNCTION("""COMPUTED_VALUE"""),"")</f>
        <v/>
      </c>
      <c r="AB207" s="82"/>
      <c r="AC207" s="83"/>
      <c r="AD207" s="75" t="str">
        <f ca="1">IFERROR(__xludf.DUMMYFUNCTION("""COMPUTED_VALUE"""),"")</f>
        <v/>
      </c>
      <c r="AE207" s="82"/>
      <c r="AF207" s="83"/>
      <c r="AG207" s="75" t="str">
        <f ca="1">IFERROR(__xludf.DUMMYFUNCTION("""COMPUTED_VALUE"""),"")</f>
        <v/>
      </c>
      <c r="AH207" s="82"/>
      <c r="AI207" s="83"/>
      <c r="AJ207" s="75" t="str">
        <f ca="1">IFERROR(__xludf.DUMMYFUNCTION("""COMPUTED_VALUE"""),"")</f>
        <v/>
      </c>
      <c r="AK207" s="82"/>
      <c r="AL207" s="83"/>
      <c r="AM207" s="75" t="str">
        <f ca="1">IFERROR(__xludf.DUMMYFUNCTION("""COMPUTED_VALUE"""),"")</f>
        <v/>
      </c>
      <c r="AN207" s="82"/>
      <c r="AO207" s="83"/>
      <c r="AP207" s="75" t="str">
        <f ca="1">IFERROR(__xludf.DUMMYFUNCTION("""COMPUTED_VALUE"""),"")</f>
        <v/>
      </c>
      <c r="AQ207" s="82"/>
      <c r="AR207" s="83"/>
      <c r="AS207" s="75" t="str">
        <f ca="1">IFERROR(__xludf.DUMMYFUNCTION("""COMPUTED_VALUE"""),"")</f>
        <v/>
      </c>
      <c r="AT207" s="82"/>
      <c r="AU207" s="83"/>
      <c r="AV207" s="75" t="str">
        <f ca="1">IFERROR(__xludf.DUMMYFUNCTION("""COMPUTED_VALUE"""),"")</f>
        <v/>
      </c>
      <c r="AW207" s="82"/>
      <c r="AX207" s="83"/>
      <c r="AY207" s="75" t="str">
        <f ca="1">IFERROR(__xludf.DUMMYFUNCTION("""COMPUTED_VALUE"""),"")</f>
        <v/>
      </c>
      <c r="AZ207" s="82"/>
      <c r="BA207" s="83"/>
      <c r="BB207" s="75" t="str">
        <f ca="1">IFERROR(__xludf.DUMMYFUNCTION("""COMPUTED_VALUE"""),"")</f>
        <v/>
      </c>
      <c r="BC207" s="82"/>
      <c r="BD207" s="83"/>
      <c r="BE207" s="75" t="str">
        <f ca="1">IFERROR(__xludf.DUMMYFUNCTION("""COMPUTED_VALUE"""),"")</f>
        <v/>
      </c>
      <c r="BF207" s="82"/>
      <c r="BG207" s="83"/>
      <c r="BH207" s="75" t="str">
        <f ca="1">IFERROR(__xludf.DUMMYFUNCTION("""COMPUTED_VALUE"""),"")</f>
        <v/>
      </c>
      <c r="BI207" s="46"/>
    </row>
    <row r="208" spans="1:61" ht="22.5" customHeight="1" x14ac:dyDescent="0.25">
      <c r="A208" s="46"/>
      <c r="B208" s="86"/>
      <c r="C208" s="87"/>
      <c r="D208" s="87"/>
      <c r="E208" s="87"/>
      <c r="F208" s="88"/>
      <c r="G208" s="89" t="str">
        <f ca="1">IFERROR(__xludf.DUMMYFUNCTION("""COMPUTED_VALUE"""),"")</f>
        <v/>
      </c>
      <c r="H208" s="90" t="str">
        <f ca="1">IFERROR(__xludf.DUMMYFUNCTION("""COMPUTED_VALUE"""),"")</f>
        <v/>
      </c>
      <c r="I208" s="91" t="str">
        <f ca="1">IFERROR(__xludf.DUMMYFUNCTION("""COMPUTED_VALUE"""),"")</f>
        <v/>
      </c>
      <c r="J208" s="267"/>
      <c r="K208" s="92" t="str">
        <f ca="1">IFERROR(__xludf.DUMMYFUNCTION("""COMPUTED_VALUE"""),"")</f>
        <v/>
      </c>
      <c r="L208" s="81" t="str">
        <f ca="1">IFERROR(__xludf.DUMMYFUNCTION("""COMPUTED_VALUE"""),"")</f>
        <v/>
      </c>
      <c r="M208" s="92"/>
      <c r="N208" s="93"/>
      <c r="O208" s="87" t="str">
        <f ca="1">IFERROR(__xludf.DUMMYFUNCTION("""COMPUTED_VALUE"""),"")</f>
        <v/>
      </c>
      <c r="P208" s="92"/>
      <c r="Q208" s="93"/>
      <c r="R208" s="87" t="str">
        <f ca="1">IFERROR(__xludf.DUMMYFUNCTION("""COMPUTED_VALUE"""),"")</f>
        <v/>
      </c>
      <c r="S208" s="92"/>
      <c r="T208" s="93"/>
      <c r="U208" s="87" t="str">
        <f ca="1">IFERROR(__xludf.DUMMYFUNCTION("""COMPUTED_VALUE"""),"")</f>
        <v/>
      </c>
      <c r="V208" s="92"/>
      <c r="W208" s="93"/>
      <c r="X208" s="87" t="str">
        <f ca="1">IFERROR(__xludf.DUMMYFUNCTION("""COMPUTED_VALUE"""),"")</f>
        <v/>
      </c>
      <c r="Y208" s="92"/>
      <c r="Z208" s="93"/>
      <c r="AA208" s="87" t="str">
        <f ca="1">IFERROR(__xludf.DUMMYFUNCTION("""COMPUTED_VALUE"""),"")</f>
        <v/>
      </c>
      <c r="AB208" s="92"/>
      <c r="AC208" s="93"/>
      <c r="AD208" s="87" t="str">
        <f ca="1">IFERROR(__xludf.DUMMYFUNCTION("""COMPUTED_VALUE"""),"")</f>
        <v/>
      </c>
      <c r="AE208" s="92"/>
      <c r="AF208" s="93"/>
      <c r="AG208" s="87" t="str">
        <f ca="1">IFERROR(__xludf.DUMMYFUNCTION("""COMPUTED_VALUE"""),"")</f>
        <v/>
      </c>
      <c r="AH208" s="92"/>
      <c r="AI208" s="93"/>
      <c r="AJ208" s="87" t="str">
        <f ca="1">IFERROR(__xludf.DUMMYFUNCTION("""COMPUTED_VALUE"""),"")</f>
        <v/>
      </c>
      <c r="AK208" s="92"/>
      <c r="AL208" s="93"/>
      <c r="AM208" s="87" t="str">
        <f ca="1">IFERROR(__xludf.DUMMYFUNCTION("""COMPUTED_VALUE"""),"")</f>
        <v/>
      </c>
      <c r="AN208" s="92"/>
      <c r="AO208" s="93"/>
      <c r="AP208" s="87" t="str">
        <f ca="1">IFERROR(__xludf.DUMMYFUNCTION("""COMPUTED_VALUE"""),"")</f>
        <v/>
      </c>
      <c r="AQ208" s="92"/>
      <c r="AR208" s="93"/>
      <c r="AS208" s="87" t="str">
        <f ca="1">IFERROR(__xludf.DUMMYFUNCTION("""COMPUTED_VALUE"""),"")</f>
        <v/>
      </c>
      <c r="AT208" s="92"/>
      <c r="AU208" s="93"/>
      <c r="AV208" s="87" t="str">
        <f ca="1">IFERROR(__xludf.DUMMYFUNCTION("""COMPUTED_VALUE"""),"")</f>
        <v/>
      </c>
      <c r="AW208" s="92"/>
      <c r="AX208" s="93"/>
      <c r="AY208" s="87" t="str">
        <f ca="1">IFERROR(__xludf.DUMMYFUNCTION("""COMPUTED_VALUE"""),"")</f>
        <v/>
      </c>
      <c r="AZ208" s="92"/>
      <c r="BA208" s="93"/>
      <c r="BB208" s="87" t="str">
        <f ca="1">IFERROR(__xludf.DUMMYFUNCTION("""COMPUTED_VALUE"""),"")</f>
        <v/>
      </c>
      <c r="BC208" s="92"/>
      <c r="BD208" s="93"/>
      <c r="BE208" s="87" t="str">
        <f ca="1">IFERROR(__xludf.DUMMYFUNCTION("""COMPUTED_VALUE"""),"")</f>
        <v/>
      </c>
      <c r="BF208" s="92"/>
      <c r="BG208" s="93"/>
      <c r="BH208" s="87" t="str">
        <f ca="1">IFERROR(__xludf.DUMMYFUNCTION("""COMPUTED_VALUE"""),"")</f>
        <v/>
      </c>
      <c r="BI208" s="46"/>
    </row>
    <row r="209" spans="1:61" ht="22.5" customHeight="1" x14ac:dyDescent="0.25">
      <c r="A209" s="46"/>
      <c r="B209" s="46"/>
      <c r="C209" s="46"/>
      <c r="D209" s="46"/>
      <c r="E209" s="46"/>
      <c r="F209" s="46"/>
      <c r="G209" s="46"/>
      <c r="H209" s="46"/>
      <c r="I209" s="63"/>
      <c r="J209" s="63"/>
      <c r="K209" s="94"/>
      <c r="L209" s="46"/>
      <c r="M209" s="94"/>
      <c r="N209" s="95"/>
      <c r="O209" s="46"/>
      <c r="P209" s="94"/>
      <c r="Q209" s="95"/>
      <c r="R209" s="46"/>
      <c r="S209" s="94"/>
      <c r="T209" s="95"/>
      <c r="U209" s="46"/>
      <c r="V209" s="94"/>
      <c r="W209" s="95"/>
      <c r="X209" s="46"/>
      <c r="Y209" s="94"/>
      <c r="Z209" s="95"/>
      <c r="AA209" s="46"/>
      <c r="AB209" s="94"/>
      <c r="AC209" s="95"/>
      <c r="AD209" s="46"/>
      <c r="AE209" s="94"/>
      <c r="AF209" s="95"/>
      <c r="AG209" s="46"/>
      <c r="AH209" s="94"/>
      <c r="AI209" s="95"/>
      <c r="AJ209" s="46"/>
      <c r="AK209" s="94"/>
      <c r="AL209" s="95"/>
      <c r="AM209" s="46"/>
      <c r="AN209" s="94"/>
      <c r="AO209" s="95"/>
      <c r="AP209" s="46"/>
      <c r="AQ209" s="94"/>
      <c r="AR209" s="95"/>
      <c r="AS209" s="46"/>
      <c r="AT209" s="94"/>
      <c r="AU209" s="95"/>
      <c r="AV209" s="46"/>
      <c r="AW209" s="94"/>
      <c r="AX209" s="95"/>
      <c r="AY209" s="46"/>
      <c r="AZ209" s="94"/>
      <c r="BA209" s="95"/>
      <c r="BB209" s="46"/>
      <c r="BC209" s="94"/>
      <c r="BD209" s="95"/>
      <c r="BE209" s="46"/>
      <c r="BF209" s="94"/>
      <c r="BG209" s="95"/>
      <c r="BH209" s="46"/>
      <c r="BI209" s="46"/>
    </row>
    <row r="210" spans="1:61" ht="13.8" x14ac:dyDescent="0.3">
      <c r="A210" s="46"/>
      <c r="B210" s="256" t="str">
        <f ca="1">IFERROR(__xludf.DUMMYFUNCTION("""COMPUTED_VALUE"""),"Average ")</f>
        <v xml:space="preserve">Average </v>
      </c>
      <c r="C210" s="218"/>
      <c r="D210" s="256" t="str">
        <f ca="1">IFERROR(__xludf.DUMMYFUNCTION("""COMPUTED_VALUE"""),"Average ")</f>
        <v xml:space="preserve">Average </v>
      </c>
      <c r="E210" s="218"/>
      <c r="F210" s="218"/>
      <c r="G210" s="218"/>
      <c r="H210" s="218"/>
      <c r="I210" s="218"/>
      <c r="J210" s="219"/>
      <c r="K210" s="96">
        <f ca="1">IFERROR(__xludf.DUMMYFUNCTION("""COMPUTED_VALUE"""),17.5954117647058)</f>
        <v>17.595411764705801</v>
      </c>
      <c r="L210" s="241" t="str">
        <f ca="1">IFERROR(__xludf.DUMMYFUNCTION("""COMPUTED_VALUE"""),"Station 1")</f>
        <v>Station 1</v>
      </c>
      <c r="M210" s="97">
        <f ca="1">IFERROR(__xludf.DUMMYFUNCTION("""COMPUTED_VALUE"""),1.78483146067415)</f>
        <v>1.78483146067415</v>
      </c>
      <c r="N210" s="98">
        <f ca="1">IFERROR(__xludf.DUMMYFUNCTION("""COMPUTED_VALUE"""),3.65168539325842)</f>
        <v>3.6516853932584201</v>
      </c>
      <c r="O210" s="242" t="str">
        <f ca="1">IFERROR(__xludf.DUMMYFUNCTION("""COMPUTED_VALUE"""),"Station 2")</f>
        <v>Station 2</v>
      </c>
      <c r="P210" s="99">
        <f ca="1">IFERROR(__xludf.DUMMYFUNCTION("""COMPUTED_VALUE"""),2.08684305907937)</f>
        <v>2.0868430590793698</v>
      </c>
      <c r="Q210" s="100">
        <f ca="1">IFERROR(__xludf.DUMMYFUNCTION("""COMPUTED_VALUE"""),4.28089887640449)</f>
        <v>4.28089887640449</v>
      </c>
      <c r="R210" s="249" t="str">
        <f ca="1">IFERROR(__xludf.DUMMYFUNCTION("""COMPUTED_VALUE"""),"Station 3")</f>
        <v>Station 3</v>
      </c>
      <c r="S210" s="101">
        <f ca="1">IFERROR(__xludf.DUMMYFUNCTION("""COMPUTED_VALUE"""),1.8191011235955)</f>
        <v>1.8191011235954999</v>
      </c>
      <c r="T210" s="102">
        <f ca="1">IFERROR(__xludf.DUMMYFUNCTION("""COMPUTED_VALUE"""),3.40449438202247)</f>
        <v>3.4044943820224698</v>
      </c>
      <c r="U210" s="234" t="str">
        <f ca="1">IFERROR(__xludf.DUMMYFUNCTION("""COMPUTED_VALUE"""),"Station 4")</f>
        <v>Station 4</v>
      </c>
      <c r="V210" s="103">
        <f ca="1">IFERROR(__xludf.DUMMYFUNCTION("""COMPUTED_VALUE"""),1.87280898876404)</f>
        <v>1.87280898876404</v>
      </c>
      <c r="W210" s="104">
        <f ca="1">IFERROR(__xludf.DUMMYFUNCTION("""COMPUTED_VALUE"""),4.06741573033707)</f>
        <v>4.0674157303370704</v>
      </c>
      <c r="X210" s="251" t="str">
        <f ca="1">IFERROR(__xludf.DUMMYFUNCTION("""COMPUTED_VALUE"""),"Station 5")</f>
        <v>Station 5</v>
      </c>
      <c r="Y210" s="105">
        <f ca="1">IFERROR(__xludf.DUMMYFUNCTION("""COMPUTED_VALUE"""),2.03325842696629)</f>
        <v>2.0332584269662899</v>
      </c>
      <c r="Z210" s="106">
        <f ca="1">IFERROR(__xludf.DUMMYFUNCTION("""COMPUTED_VALUE"""),4.41573033707865)</f>
        <v>4.4157303370786503</v>
      </c>
      <c r="AA210" s="241" t="str">
        <f ca="1">IFERROR(__xludf.DUMMYFUNCTION("""COMPUTED_VALUE"""),"Station 6")</f>
        <v>Station 6</v>
      </c>
      <c r="AB210" s="97">
        <f ca="1">IFERROR(__xludf.DUMMYFUNCTION("""COMPUTED_VALUE"""),1.56704545454545)</f>
        <v>1.56704545454545</v>
      </c>
      <c r="AC210" s="98">
        <f ca="1">IFERROR(__xludf.DUMMYFUNCTION("""COMPUTED_VALUE"""),3.32954545454545)</f>
        <v>3.3295454545454501</v>
      </c>
      <c r="AD210" s="231" t="str">
        <f ca="1">IFERROR(__xludf.DUMMYFUNCTION("""COMPUTED_VALUE"""),"Station 7")</f>
        <v>Station 7</v>
      </c>
      <c r="AE210" s="107">
        <f ca="1">IFERROR(__xludf.DUMMYFUNCTION("""COMPUTED_VALUE"""),1.86391011235955)</f>
        <v>1.8639101123595501</v>
      </c>
      <c r="AF210" s="108">
        <f ca="1">IFERROR(__xludf.DUMMYFUNCTION("""COMPUTED_VALUE"""),3.93258426966292)</f>
        <v>3.9325842696629199</v>
      </c>
      <c r="AG210" s="245" t="str">
        <f ca="1">IFERROR(__xludf.DUMMYFUNCTION("""COMPUTED_VALUE"""),"Station 8")</f>
        <v>Station 8</v>
      </c>
      <c r="AH210" s="109">
        <f ca="1">IFERROR(__xludf.DUMMYFUNCTION("""COMPUTED_VALUE"""),1.56250401284109)</f>
        <v>1.5625040128410901</v>
      </c>
      <c r="AI210" s="110">
        <f ca="1">IFERROR(__xludf.DUMMYFUNCTION("""COMPUTED_VALUE"""),3.16853932584269)</f>
        <v>3.1685393258426902</v>
      </c>
      <c r="AJ210" s="231" t="str">
        <f ca="1">IFERROR(__xludf.DUMMYFUNCTION("""COMPUTED_VALUE"""),"Station 9")</f>
        <v>Station 9</v>
      </c>
      <c r="AK210" s="107">
        <f ca="1">IFERROR(__xludf.DUMMYFUNCTION("""COMPUTED_VALUE"""),2.05280898876404)</f>
        <v>2.0528089887640402</v>
      </c>
      <c r="AL210" s="108">
        <f ca="1">IFERROR(__xludf.DUMMYFUNCTION("""COMPUTED_VALUE"""),3.9438202247191)</f>
        <v>3.9438202247190999</v>
      </c>
      <c r="AM210" s="246" t="str">
        <f ca="1">IFERROR(__xludf.DUMMYFUNCTION("""COMPUTED_VALUE"""),"Station 10")</f>
        <v>Station 10</v>
      </c>
      <c r="AN210" s="111">
        <f ca="1">IFERROR(__xludf.DUMMYFUNCTION("""COMPUTED_VALUE"""),0.959570661896242)</f>
        <v>0.95957066189624196</v>
      </c>
      <c r="AO210" s="112">
        <f ca="1">IFERROR(__xludf.DUMMYFUNCTION("""COMPUTED_VALUE"""),1.88372093023255)</f>
        <v>1.8837209302325499</v>
      </c>
      <c r="AP210" s="232" t="str">
        <f ca="1">IFERROR(__xludf.DUMMYFUNCTION("""COMPUTED_VALUE"""),"Station 11")</f>
        <v>Station 11</v>
      </c>
      <c r="AQ210" s="113"/>
      <c r="AR210" s="114"/>
      <c r="AS210" s="245" t="str">
        <f ca="1">IFERROR(__xludf.DUMMYFUNCTION("""COMPUTED_VALUE"""),"Station 12")</f>
        <v>Station 12</v>
      </c>
      <c r="AT210" s="109"/>
      <c r="AU210" s="110"/>
      <c r="AV210" s="234" t="str">
        <f ca="1">IFERROR(__xludf.DUMMYFUNCTION("""COMPUTED_VALUE"""),"Station 13")</f>
        <v>Station 13</v>
      </c>
      <c r="AW210" s="109"/>
      <c r="AX210" s="110"/>
      <c r="AY210" s="246" t="str">
        <f ca="1">IFERROR(__xludf.DUMMYFUNCTION("""COMPUTED_VALUE"""),"Station 14")</f>
        <v>Station 14</v>
      </c>
      <c r="AZ210" s="109"/>
      <c r="BA210" s="110"/>
      <c r="BB210" s="232" t="str">
        <f ca="1">IFERROR(__xludf.DUMMYFUNCTION("""COMPUTED_VALUE"""),"Station 15")</f>
        <v>Station 15</v>
      </c>
      <c r="BC210" s="109"/>
      <c r="BD210" s="110"/>
      <c r="BE210" s="230" t="str">
        <f ca="1">IFERROR(__xludf.DUMMYFUNCTION("""COMPUTED_VALUE"""),"Station 16")</f>
        <v>Station 16</v>
      </c>
      <c r="BF210" s="109"/>
      <c r="BG210" s="110"/>
      <c r="BH210" s="222"/>
      <c r="BI210" s="46"/>
    </row>
    <row r="211" spans="1:61" ht="13.8" x14ac:dyDescent="0.25">
      <c r="A211" s="46"/>
      <c r="B211" s="253" t="str">
        <f ca="1">IFERROR(__xludf.DUMMYFUNCTION("""COMPUTED_VALUE"""),"Average %")</f>
        <v>Average %</v>
      </c>
      <c r="C211" s="218"/>
      <c r="D211" s="253" t="str">
        <f ca="1">IFERROR(__xludf.DUMMYFUNCTION("""COMPUTED_VALUE"""),"Average %")</f>
        <v>Average %</v>
      </c>
      <c r="E211" s="218"/>
      <c r="F211" s="218"/>
      <c r="G211" s="218"/>
      <c r="H211" s="218"/>
      <c r="I211" s="218"/>
      <c r="J211" s="219"/>
      <c r="K211" s="96">
        <f ca="1">IFERROR(__xludf.DUMMYFUNCTION("""COMPUTED_VALUE"""),0.733142156862745)</f>
        <v>0.73314215686274498</v>
      </c>
      <c r="L211" s="223"/>
      <c r="M211" s="97">
        <f ca="1">IFERROR(__xludf.DUMMYFUNCTION("""COMPUTED_VALUE"""),0.743679775280899)</f>
        <v>0.74367977528089901</v>
      </c>
      <c r="N211" s="97">
        <f ca="1">IFERROR(__xludf.DUMMYFUNCTION("""COMPUTED_VALUE"""),0.730337078651685)</f>
        <v>0.73033707865168496</v>
      </c>
      <c r="O211" s="223"/>
      <c r="P211" s="99">
        <f ca="1">IFERROR(__xludf.DUMMYFUNCTION("""COMPUTED_VALUE"""),0.869517941283073)</f>
        <v>0.86951794128307303</v>
      </c>
      <c r="Q211" s="99">
        <f ca="1">IFERROR(__xludf.DUMMYFUNCTION("""COMPUTED_VALUE"""),0.856179775280898)</f>
        <v>0.85617977528089795</v>
      </c>
      <c r="R211" s="223"/>
      <c r="S211" s="101">
        <f ca="1">IFERROR(__xludf.DUMMYFUNCTION("""COMPUTED_VALUE"""),0.757958801498127)</f>
        <v>0.757958801498127</v>
      </c>
      <c r="T211" s="101">
        <f ca="1">IFERROR(__xludf.DUMMYFUNCTION("""COMPUTED_VALUE"""),0.680898876404494)</f>
        <v>0.68089887640449398</v>
      </c>
      <c r="U211" s="223"/>
      <c r="V211" s="103">
        <f ca="1">IFERROR(__xludf.DUMMYFUNCTION("""COMPUTED_VALUE"""),0.780337078651685)</f>
        <v>0.780337078651685</v>
      </c>
      <c r="W211" s="103">
        <f ca="1">IFERROR(__xludf.DUMMYFUNCTION("""COMPUTED_VALUE"""),0.813483146067415)</f>
        <v>0.81348314606741501</v>
      </c>
      <c r="X211" s="223"/>
      <c r="Y211" s="105">
        <f ca="1">IFERROR(__xludf.DUMMYFUNCTION("""COMPUTED_VALUE"""),0.847191011235955)</f>
        <v>0.84719101123595497</v>
      </c>
      <c r="Z211" s="105">
        <f ca="1">IFERROR(__xludf.DUMMYFUNCTION("""COMPUTED_VALUE"""),0.88314606741573)</f>
        <v>0.88314606741572999</v>
      </c>
      <c r="AA211" s="223"/>
      <c r="AB211" s="97">
        <f ca="1">IFERROR(__xludf.DUMMYFUNCTION("""COMPUTED_VALUE"""),0.652935606060606)</f>
        <v>0.65293560606060597</v>
      </c>
      <c r="AC211" s="97">
        <f ca="1">IFERROR(__xludf.DUMMYFUNCTION("""COMPUTED_VALUE"""),0.66590909090909)</f>
        <v>0.66590909090909001</v>
      </c>
      <c r="AD211" s="223"/>
      <c r="AE211" s="107">
        <f ca="1">IFERROR(__xludf.DUMMYFUNCTION("""COMPUTED_VALUE"""),0.776629213483145)</f>
        <v>0.77662921348314495</v>
      </c>
      <c r="AF211" s="107">
        <f ca="1">IFERROR(__xludf.DUMMYFUNCTION("""COMPUTED_VALUE"""),0.786516853932584)</f>
        <v>0.78651685393258397</v>
      </c>
      <c r="AG211" s="223"/>
      <c r="AH211" s="109">
        <f ca="1">IFERROR(__xludf.DUMMYFUNCTION("""COMPUTED_VALUE"""),0.651043338683787)</f>
        <v>0.65104333868378705</v>
      </c>
      <c r="AI211" s="109">
        <f ca="1">IFERROR(__xludf.DUMMYFUNCTION("""COMPUTED_VALUE"""),0.633707865168539)</f>
        <v>0.63370786516853905</v>
      </c>
      <c r="AJ211" s="223"/>
      <c r="AK211" s="107">
        <f ca="1">IFERROR(__xludf.DUMMYFUNCTION("""COMPUTED_VALUE"""),0.855337078651685)</f>
        <v>0.85533707865168496</v>
      </c>
      <c r="AL211" s="107">
        <f ca="1">IFERROR(__xludf.DUMMYFUNCTION("""COMPUTED_VALUE"""),0.78876404494382)</f>
        <v>0.78876404494382002</v>
      </c>
      <c r="AM211" s="223"/>
      <c r="AN211" s="111">
        <f ca="1">IFERROR(__xludf.DUMMYFUNCTION("""COMPUTED_VALUE"""),0.399821109123434)</f>
        <v>0.39982110912343399</v>
      </c>
      <c r="AO211" s="111">
        <f ca="1">IFERROR(__xludf.DUMMYFUNCTION("""COMPUTED_VALUE"""),0.376744186046511)</f>
        <v>0.376744186046511</v>
      </c>
      <c r="AP211" s="223"/>
      <c r="AQ211" s="113"/>
      <c r="AR211" s="113">
        <f ca="1">IFERROR(__xludf.DUMMYFUNCTION("""COMPUTED_VALUE"""),0)</f>
        <v>0</v>
      </c>
      <c r="AS211" s="223"/>
      <c r="AT211" s="109"/>
      <c r="AU211" s="109">
        <f ca="1">IFERROR(__xludf.DUMMYFUNCTION("""COMPUTED_VALUE"""),0)</f>
        <v>0</v>
      </c>
      <c r="AV211" s="223"/>
      <c r="AW211" s="109"/>
      <c r="AX211" s="109">
        <f ca="1">IFERROR(__xludf.DUMMYFUNCTION("""COMPUTED_VALUE"""),0)</f>
        <v>0</v>
      </c>
      <c r="AY211" s="223"/>
      <c r="AZ211" s="109"/>
      <c r="BA211" s="109">
        <f ca="1">IFERROR(__xludf.DUMMYFUNCTION("""COMPUTED_VALUE"""),0)</f>
        <v>0</v>
      </c>
      <c r="BB211" s="223"/>
      <c r="BC211" s="109"/>
      <c r="BD211" s="109">
        <f ca="1">IFERROR(__xludf.DUMMYFUNCTION("""COMPUTED_VALUE"""),0)</f>
        <v>0</v>
      </c>
      <c r="BE211" s="223"/>
      <c r="BF211" s="109"/>
      <c r="BG211" s="109">
        <f ca="1">IFERROR(__xludf.DUMMYFUNCTION("""COMPUTED_VALUE"""),0)</f>
        <v>0</v>
      </c>
      <c r="BH211" s="223"/>
      <c r="BI211" s="46"/>
    </row>
    <row r="212" spans="1:61" ht="13.8" x14ac:dyDescent="0.25">
      <c r="A212" s="46"/>
      <c r="B212" s="253" t="str">
        <f ca="1">IFERROR(__xludf.DUMMYFUNCTION("""COMPUTED_VALUE"""),"SD ")</f>
        <v xml:space="preserve">SD </v>
      </c>
      <c r="C212" s="218"/>
      <c r="D212" s="253" t="str">
        <f ca="1">IFERROR(__xludf.DUMMYFUNCTION("""COMPUTED_VALUE"""),"SD ")</f>
        <v xml:space="preserve">SD </v>
      </c>
      <c r="E212" s="218"/>
      <c r="F212" s="218"/>
      <c r="G212" s="218"/>
      <c r="H212" s="218"/>
      <c r="I212" s="218"/>
      <c r="J212" s="219"/>
      <c r="K212" s="96">
        <f ca="1">IFERROR(__xludf.DUMMYFUNCTION("""COMPUTED_VALUE"""),2.48376948212512)</f>
        <v>2.4837694821251199</v>
      </c>
      <c r="L212" s="223"/>
      <c r="M212" s="97">
        <f ca="1">IFERROR(__xludf.DUMMYFUNCTION("""COMPUTED_VALUE"""),0.336395878662026)</f>
        <v>0.33639587866202603</v>
      </c>
      <c r="N212" s="97">
        <f ca="1">IFERROR(__xludf.DUMMYFUNCTION("""COMPUTED_VALUE"""),0.724586458789764)</f>
        <v>0.72458645878976402</v>
      </c>
      <c r="O212" s="223"/>
      <c r="P212" s="99">
        <f ca="1">IFERROR(__xludf.DUMMYFUNCTION("""COMPUTED_VALUE"""),0.297771904745036)</f>
        <v>0.29777190474503601</v>
      </c>
      <c r="Q212" s="99">
        <f ca="1">IFERROR(__xludf.DUMMYFUNCTION("""COMPUTED_VALUE"""),0.706926189488751)</f>
        <v>0.70692618948875097</v>
      </c>
      <c r="R212" s="223"/>
      <c r="S212" s="101">
        <f ca="1">IFERROR(__xludf.DUMMYFUNCTION("""COMPUTED_VALUE"""),0.392797774854366)</f>
        <v>0.39279777485436601</v>
      </c>
      <c r="T212" s="101">
        <f ca="1">IFERROR(__xludf.DUMMYFUNCTION("""COMPUTED_VALUE"""),1.05226056576474)</f>
        <v>1.0522605657647399</v>
      </c>
      <c r="U212" s="223"/>
      <c r="V212" s="103">
        <f ca="1">IFERROR(__xludf.DUMMYFUNCTION("""COMPUTED_VALUE"""),0.441878708069937)</f>
        <v>0.44187870806993701</v>
      </c>
      <c r="W212" s="103">
        <f ca="1">IFERROR(__xludf.DUMMYFUNCTION("""COMPUTED_VALUE"""),0.863367519039002)</f>
        <v>0.863367519039002</v>
      </c>
      <c r="X212" s="223"/>
      <c r="Y212" s="105">
        <f ca="1">IFERROR(__xludf.DUMMYFUNCTION("""COMPUTED_VALUE"""),0.310906940479633)</f>
        <v>0.31090694047963302</v>
      </c>
      <c r="Z212" s="105">
        <f ca="1">IFERROR(__xludf.DUMMYFUNCTION("""COMPUTED_VALUE"""),0.735604092566797)</f>
        <v>0.73560409256679704</v>
      </c>
      <c r="AA212" s="223"/>
      <c r="AB212" s="97">
        <f ca="1">IFERROR(__xludf.DUMMYFUNCTION("""COMPUTED_VALUE"""),0.563389086047956)</f>
        <v>0.56338908604795601</v>
      </c>
      <c r="AC212" s="97">
        <f ca="1">IFERROR(__xludf.DUMMYFUNCTION("""COMPUTED_VALUE"""),1.12159155092463)</f>
        <v>1.1215915509246299</v>
      </c>
      <c r="AD212" s="223"/>
      <c r="AE212" s="107">
        <f ca="1">IFERROR(__xludf.DUMMYFUNCTION("""COMPUTED_VALUE"""),0.362914453996124)</f>
        <v>0.36291445399612399</v>
      </c>
      <c r="AF212" s="107">
        <f ca="1">IFERROR(__xludf.DUMMYFUNCTION("""COMPUTED_VALUE"""),1.02022449411201)</f>
        <v>1.02022449411201</v>
      </c>
      <c r="AG212" s="223"/>
      <c r="AH212" s="109">
        <f ca="1">IFERROR(__xludf.DUMMYFUNCTION("""COMPUTED_VALUE"""),0.364091320739193)</f>
        <v>0.36409132073919298</v>
      </c>
      <c r="AI212" s="109">
        <f ca="1">IFERROR(__xludf.DUMMYFUNCTION("""COMPUTED_VALUE"""),0.742170573633664)</f>
        <v>0.74217057363366401</v>
      </c>
      <c r="AJ212" s="223"/>
      <c r="AK212" s="107">
        <f ca="1">IFERROR(__xludf.DUMMYFUNCTION("""COMPUTED_VALUE"""),0.244961679582212)</f>
        <v>0.24496167958221199</v>
      </c>
      <c r="AL212" s="107">
        <f ca="1">IFERROR(__xludf.DUMMYFUNCTION("""COMPUTED_VALUE"""),0.830656237859804)</f>
        <v>0.83065623785980403</v>
      </c>
      <c r="AM212" s="223"/>
      <c r="AN212" s="111">
        <f ca="1">IFERROR(__xludf.DUMMYFUNCTION("""COMPUTED_VALUE"""),0.623538945003973)</f>
        <v>0.623538945003973</v>
      </c>
      <c r="AO212" s="111">
        <f ca="1">IFERROR(__xludf.DUMMYFUNCTION("""COMPUTED_VALUE"""),0.938316447952367)</f>
        <v>0.93831644795236702</v>
      </c>
      <c r="AP212" s="223"/>
      <c r="AQ212" s="113"/>
      <c r="AR212" s="113"/>
      <c r="AS212" s="223"/>
      <c r="AT212" s="109"/>
      <c r="AU212" s="109"/>
      <c r="AV212" s="223"/>
      <c r="AW212" s="109"/>
      <c r="AX212" s="109"/>
      <c r="AY212" s="223"/>
      <c r="AZ212" s="109"/>
      <c r="BA212" s="109"/>
      <c r="BB212" s="223"/>
      <c r="BC212" s="109"/>
      <c r="BD212" s="109"/>
      <c r="BE212" s="223"/>
      <c r="BF212" s="109"/>
      <c r="BG212" s="109"/>
      <c r="BH212" s="223"/>
      <c r="BI212" s="46"/>
    </row>
    <row r="213" spans="1:61" ht="13.8" x14ac:dyDescent="0.25">
      <c r="A213" s="46"/>
      <c r="B213" s="253" t="str">
        <f ca="1">IFERROR(__xludf.DUMMYFUNCTION("""COMPUTED_VALUE"""),"Median")</f>
        <v>Median</v>
      </c>
      <c r="C213" s="218"/>
      <c r="D213" s="253" t="str">
        <f ca="1">IFERROR(__xludf.DUMMYFUNCTION("""COMPUTED_VALUE"""),"Median")</f>
        <v>Median</v>
      </c>
      <c r="E213" s="218"/>
      <c r="F213" s="218"/>
      <c r="G213" s="218"/>
      <c r="H213" s="218"/>
      <c r="I213" s="218"/>
      <c r="J213" s="219"/>
      <c r="K213" s="96">
        <f ca="1">IFERROR(__xludf.DUMMYFUNCTION("""COMPUTED_VALUE"""),17.6)</f>
        <v>17.600000000000001</v>
      </c>
      <c r="L213" s="223"/>
      <c r="M213" s="97">
        <f ca="1">IFERROR(__xludf.DUMMYFUNCTION("""COMPUTED_VALUE"""),1.72499999999999)</f>
        <v>1.7249999999999901</v>
      </c>
      <c r="N213" s="97">
        <f ca="1">IFERROR(__xludf.DUMMYFUNCTION("""COMPUTED_VALUE"""),4)</f>
        <v>4</v>
      </c>
      <c r="O213" s="223"/>
      <c r="P213" s="99">
        <f ca="1">IFERROR(__xludf.DUMMYFUNCTION("""COMPUTED_VALUE"""),2.16774193548387)</f>
        <v>2.1677419354838698</v>
      </c>
      <c r="Q213" s="99">
        <f ca="1">IFERROR(__xludf.DUMMYFUNCTION("""COMPUTED_VALUE"""),4)</f>
        <v>4</v>
      </c>
      <c r="R213" s="223"/>
      <c r="S213" s="101">
        <f ca="1">IFERROR(__xludf.DUMMYFUNCTION("""COMPUTED_VALUE"""),1.9)</f>
        <v>1.9</v>
      </c>
      <c r="T213" s="101">
        <f ca="1">IFERROR(__xludf.DUMMYFUNCTION("""COMPUTED_VALUE"""),4)</f>
        <v>4</v>
      </c>
      <c r="U213" s="223"/>
      <c r="V213" s="103">
        <f ca="1">IFERROR(__xludf.DUMMYFUNCTION("""COMPUTED_VALUE"""),1.92)</f>
        <v>1.92</v>
      </c>
      <c r="W213" s="103">
        <f ca="1">IFERROR(__xludf.DUMMYFUNCTION("""COMPUTED_VALUE"""),4)</f>
        <v>4</v>
      </c>
      <c r="X213" s="223"/>
      <c r="Y213" s="105">
        <f ca="1">IFERROR(__xludf.DUMMYFUNCTION("""COMPUTED_VALUE"""),2.04)</f>
        <v>2.04</v>
      </c>
      <c r="Z213" s="105">
        <f ca="1">IFERROR(__xludf.DUMMYFUNCTION("""COMPUTED_VALUE"""),5)</f>
        <v>5</v>
      </c>
      <c r="AA213" s="223"/>
      <c r="AB213" s="97">
        <f ca="1">IFERROR(__xludf.DUMMYFUNCTION("""COMPUTED_VALUE"""),1.59999999999999)</f>
        <v>1.5999999999999901</v>
      </c>
      <c r="AC213" s="97">
        <f ca="1">IFERROR(__xludf.DUMMYFUNCTION("""COMPUTED_VALUE"""),3)</f>
        <v>3</v>
      </c>
      <c r="AD213" s="223"/>
      <c r="AE213" s="107">
        <f ca="1">IFERROR(__xludf.DUMMYFUNCTION("""COMPUTED_VALUE"""),1.92)</f>
        <v>1.92</v>
      </c>
      <c r="AF213" s="107">
        <f ca="1">IFERROR(__xludf.DUMMYFUNCTION("""COMPUTED_VALUE"""),4)</f>
        <v>4</v>
      </c>
      <c r="AG213" s="223"/>
      <c r="AH213" s="109">
        <f ca="1">IFERROR(__xludf.DUMMYFUNCTION("""COMPUTED_VALUE"""),1.57714285714285)</f>
        <v>1.5771428571428501</v>
      </c>
      <c r="AI213" s="109">
        <f ca="1">IFERROR(__xludf.DUMMYFUNCTION("""COMPUTED_VALUE"""),3)</f>
        <v>3</v>
      </c>
      <c r="AJ213" s="223"/>
      <c r="AK213" s="107">
        <f ca="1">IFERROR(__xludf.DUMMYFUNCTION("""COMPUTED_VALUE"""),2.1)</f>
        <v>2.1</v>
      </c>
      <c r="AL213" s="107">
        <f ca="1">IFERROR(__xludf.DUMMYFUNCTION("""COMPUTED_VALUE"""),4)</f>
        <v>4</v>
      </c>
      <c r="AM213" s="223"/>
      <c r="AN213" s="111">
        <f ca="1">IFERROR(__xludf.DUMMYFUNCTION("""COMPUTED_VALUE"""),0.923076923076923)</f>
        <v>0.92307692307692302</v>
      </c>
      <c r="AO213" s="111">
        <f ca="1">IFERROR(__xludf.DUMMYFUNCTION("""COMPUTED_VALUE"""),2)</f>
        <v>2</v>
      </c>
      <c r="AP213" s="223"/>
      <c r="AQ213" s="113"/>
      <c r="AR213" s="113"/>
      <c r="AS213" s="223"/>
      <c r="AT213" s="109"/>
      <c r="AU213" s="109"/>
      <c r="AV213" s="223"/>
      <c r="AW213" s="109"/>
      <c r="AX213" s="109"/>
      <c r="AY213" s="223"/>
      <c r="AZ213" s="109"/>
      <c r="BA213" s="109"/>
      <c r="BB213" s="223"/>
      <c r="BC213" s="109"/>
      <c r="BD213" s="109"/>
      <c r="BE213" s="223"/>
      <c r="BF213" s="109"/>
      <c r="BG213" s="109"/>
      <c r="BH213" s="223"/>
      <c r="BI213" s="46"/>
    </row>
    <row r="214" spans="1:61" ht="13.8" x14ac:dyDescent="0.25">
      <c r="A214" s="46"/>
      <c r="B214" s="253" t="str">
        <f ca="1">IFERROR(__xludf.DUMMYFUNCTION("""COMPUTED_VALUE"""),"Minimum")</f>
        <v>Minimum</v>
      </c>
      <c r="C214" s="218"/>
      <c r="D214" s="253" t="str">
        <f ca="1">IFERROR(__xludf.DUMMYFUNCTION("""COMPUTED_VALUE"""),"Minimum")</f>
        <v>Minimum</v>
      </c>
      <c r="E214" s="218"/>
      <c r="F214" s="218"/>
      <c r="G214" s="218"/>
      <c r="H214" s="218"/>
      <c r="I214" s="218"/>
      <c r="J214" s="219"/>
      <c r="K214" s="96">
        <f ca="1">IFERROR(__xludf.DUMMYFUNCTION("""COMPUTED_VALUE"""),11.89)</f>
        <v>11.89</v>
      </c>
      <c r="L214" s="223"/>
      <c r="M214" s="97">
        <f ca="1">IFERROR(__xludf.DUMMYFUNCTION("""COMPUTED_VALUE"""),1.125)</f>
        <v>1.125</v>
      </c>
      <c r="N214" s="97">
        <f ca="1">IFERROR(__xludf.DUMMYFUNCTION("""COMPUTED_VALUE"""),1)</f>
        <v>1</v>
      </c>
      <c r="O214" s="223"/>
      <c r="P214" s="99">
        <f ca="1">IFERROR(__xludf.DUMMYFUNCTION("""COMPUTED_VALUE"""),1.16129032258064)</f>
        <v>1.1612903225806399</v>
      </c>
      <c r="Q214" s="99">
        <f ca="1">IFERROR(__xludf.DUMMYFUNCTION("""COMPUTED_VALUE"""),3)</f>
        <v>3</v>
      </c>
      <c r="R214" s="223"/>
      <c r="S214" s="101">
        <f ca="1">IFERROR(__xludf.DUMMYFUNCTION("""COMPUTED_VALUE"""),0.6)</f>
        <v>0.6</v>
      </c>
      <c r="T214" s="101">
        <f ca="1">IFERROR(__xludf.DUMMYFUNCTION("""COMPUTED_VALUE"""),1)</f>
        <v>1</v>
      </c>
      <c r="U214" s="223"/>
      <c r="V214" s="103">
        <f ca="1">IFERROR(__xludf.DUMMYFUNCTION("""COMPUTED_VALUE"""),0.72)</f>
        <v>0.72</v>
      </c>
      <c r="W214" s="103">
        <f ca="1">IFERROR(__xludf.DUMMYFUNCTION("""COMPUTED_VALUE"""),1)</f>
        <v>1</v>
      </c>
      <c r="X214" s="223"/>
      <c r="Y214" s="105">
        <f ca="1">IFERROR(__xludf.DUMMYFUNCTION("""COMPUTED_VALUE"""),1.2)</f>
        <v>1.2</v>
      </c>
      <c r="Z214" s="105">
        <f ca="1">IFERROR(__xludf.DUMMYFUNCTION("""COMPUTED_VALUE"""),2)</f>
        <v>2</v>
      </c>
      <c r="AA214" s="223"/>
      <c r="AB214" s="97">
        <f ca="1">IFERROR(__xludf.DUMMYFUNCTION("""COMPUTED_VALUE"""),0.3)</f>
        <v>0.3</v>
      </c>
      <c r="AC214" s="97">
        <f ca="1">IFERROR(__xludf.DUMMYFUNCTION("""COMPUTED_VALUE"""),1)</f>
        <v>1</v>
      </c>
      <c r="AD214" s="223"/>
      <c r="AE214" s="107">
        <f ca="1">IFERROR(__xludf.DUMMYFUNCTION("""COMPUTED_VALUE"""),0.96)</f>
        <v>0.96</v>
      </c>
      <c r="AF214" s="107">
        <f ca="1">IFERROR(__xludf.DUMMYFUNCTION("""COMPUTED_VALUE"""),1)</f>
        <v>1</v>
      </c>
      <c r="AG214" s="223"/>
      <c r="AH214" s="109">
        <f ca="1">IFERROR(__xludf.DUMMYFUNCTION("""COMPUTED_VALUE"""),0.685714285714285)</f>
        <v>0.68571428571428505</v>
      </c>
      <c r="AI214" s="109">
        <f ca="1">IFERROR(__xludf.DUMMYFUNCTION("""COMPUTED_VALUE"""),1)</f>
        <v>1</v>
      </c>
      <c r="AJ214" s="223"/>
      <c r="AK214" s="107">
        <f ca="1">IFERROR(__xludf.DUMMYFUNCTION("""COMPUTED_VALUE"""),1.125)</f>
        <v>1.125</v>
      </c>
      <c r="AL214" s="107">
        <f ca="1">IFERROR(__xludf.DUMMYFUNCTION("""COMPUTED_VALUE"""),2)</f>
        <v>2</v>
      </c>
      <c r="AM214" s="223"/>
      <c r="AN214" s="111">
        <f ca="1">IFERROR(__xludf.DUMMYFUNCTION("""COMPUTED_VALUE"""),0)</f>
        <v>0</v>
      </c>
      <c r="AO214" s="111">
        <f ca="1">IFERROR(__xludf.DUMMYFUNCTION("""COMPUTED_VALUE"""),1)</f>
        <v>1</v>
      </c>
      <c r="AP214" s="223"/>
      <c r="AQ214" s="113">
        <f ca="1">IFERROR(__xludf.DUMMYFUNCTION("""COMPUTED_VALUE"""),0)</f>
        <v>0</v>
      </c>
      <c r="AR214" s="113">
        <f ca="1">IFERROR(__xludf.DUMMYFUNCTION("""COMPUTED_VALUE"""),0)</f>
        <v>0</v>
      </c>
      <c r="AS214" s="223"/>
      <c r="AT214" s="109">
        <f ca="1">IFERROR(__xludf.DUMMYFUNCTION("""COMPUTED_VALUE"""),0)</f>
        <v>0</v>
      </c>
      <c r="AU214" s="109">
        <f ca="1">IFERROR(__xludf.DUMMYFUNCTION("""COMPUTED_VALUE"""),0)</f>
        <v>0</v>
      </c>
      <c r="AV214" s="223"/>
      <c r="AW214" s="109">
        <f ca="1">IFERROR(__xludf.DUMMYFUNCTION("""COMPUTED_VALUE"""),0)</f>
        <v>0</v>
      </c>
      <c r="AX214" s="109">
        <f ca="1">IFERROR(__xludf.DUMMYFUNCTION("""COMPUTED_VALUE"""),0)</f>
        <v>0</v>
      </c>
      <c r="AY214" s="223"/>
      <c r="AZ214" s="109">
        <f ca="1">IFERROR(__xludf.DUMMYFUNCTION("""COMPUTED_VALUE"""),0)</f>
        <v>0</v>
      </c>
      <c r="BA214" s="109">
        <f ca="1">IFERROR(__xludf.DUMMYFUNCTION("""COMPUTED_VALUE"""),0)</f>
        <v>0</v>
      </c>
      <c r="BB214" s="223"/>
      <c r="BC214" s="109">
        <f ca="1">IFERROR(__xludf.DUMMYFUNCTION("""COMPUTED_VALUE"""),0)</f>
        <v>0</v>
      </c>
      <c r="BD214" s="109">
        <f ca="1">IFERROR(__xludf.DUMMYFUNCTION("""COMPUTED_VALUE"""),0)</f>
        <v>0</v>
      </c>
      <c r="BE214" s="223"/>
      <c r="BF214" s="109">
        <f ca="1">IFERROR(__xludf.DUMMYFUNCTION("""COMPUTED_VALUE"""),0)</f>
        <v>0</v>
      </c>
      <c r="BG214" s="109">
        <f ca="1">IFERROR(__xludf.DUMMYFUNCTION("""COMPUTED_VALUE"""),0)</f>
        <v>0</v>
      </c>
      <c r="BH214" s="223"/>
      <c r="BI214" s="46"/>
    </row>
    <row r="215" spans="1:61" ht="13.8" x14ac:dyDescent="0.25">
      <c r="A215" s="46"/>
      <c r="B215" s="253" t="str">
        <f ca="1">IFERROR(__xludf.DUMMYFUNCTION("""COMPUTED_VALUE"""),"Maximum")</f>
        <v>Maximum</v>
      </c>
      <c r="C215" s="218"/>
      <c r="D215" s="253" t="str">
        <f ca="1">IFERROR(__xludf.DUMMYFUNCTION("""COMPUTED_VALUE"""),"Maximum")</f>
        <v>Maximum</v>
      </c>
      <c r="E215" s="218"/>
      <c r="F215" s="218"/>
      <c r="G215" s="218"/>
      <c r="H215" s="218"/>
      <c r="I215" s="218"/>
      <c r="J215" s="219"/>
      <c r="K215" s="96">
        <f ca="1">IFERROR(__xludf.DUMMYFUNCTION("""COMPUTED_VALUE"""),22.38)</f>
        <v>22.38</v>
      </c>
      <c r="L215" s="223"/>
      <c r="M215" s="97">
        <f ca="1">IFERROR(__xludf.DUMMYFUNCTION("""COMPUTED_VALUE"""),2.4)</f>
        <v>2.4</v>
      </c>
      <c r="N215" s="97">
        <f ca="1">IFERROR(__xludf.DUMMYFUNCTION("""COMPUTED_VALUE"""),5)</f>
        <v>5</v>
      </c>
      <c r="O215" s="223"/>
      <c r="P215" s="99">
        <f ca="1">IFERROR(__xludf.DUMMYFUNCTION("""COMPUTED_VALUE"""),2.4)</f>
        <v>2.4</v>
      </c>
      <c r="Q215" s="99">
        <f ca="1">IFERROR(__xludf.DUMMYFUNCTION("""COMPUTED_VALUE"""),5)</f>
        <v>5</v>
      </c>
      <c r="R215" s="223"/>
      <c r="S215" s="101">
        <f ca="1">IFERROR(__xludf.DUMMYFUNCTION("""COMPUTED_VALUE"""),2.4)</f>
        <v>2.4</v>
      </c>
      <c r="T215" s="101">
        <f ca="1">IFERROR(__xludf.DUMMYFUNCTION("""COMPUTED_VALUE"""),5)</f>
        <v>5</v>
      </c>
      <c r="U215" s="223"/>
      <c r="V215" s="103">
        <f ca="1">IFERROR(__xludf.DUMMYFUNCTION("""COMPUTED_VALUE"""),2.4)</f>
        <v>2.4</v>
      </c>
      <c r="W215" s="103">
        <f ca="1">IFERROR(__xludf.DUMMYFUNCTION("""COMPUTED_VALUE"""),5)</f>
        <v>5</v>
      </c>
      <c r="X215" s="223"/>
      <c r="Y215" s="105">
        <f ca="1">IFERROR(__xludf.DUMMYFUNCTION("""COMPUTED_VALUE"""),2.4)</f>
        <v>2.4</v>
      </c>
      <c r="Z215" s="105">
        <f ca="1">IFERROR(__xludf.DUMMYFUNCTION("""COMPUTED_VALUE"""),5)</f>
        <v>5</v>
      </c>
      <c r="AA215" s="223"/>
      <c r="AB215" s="97">
        <f ca="1">IFERROR(__xludf.DUMMYFUNCTION("""COMPUTED_VALUE"""),2.4)</f>
        <v>2.4</v>
      </c>
      <c r="AC215" s="97">
        <f ca="1">IFERROR(__xludf.DUMMYFUNCTION("""COMPUTED_VALUE"""),5)</f>
        <v>5</v>
      </c>
      <c r="AD215" s="223"/>
      <c r="AE215" s="107">
        <f ca="1">IFERROR(__xludf.DUMMYFUNCTION("""COMPUTED_VALUE"""),2.4)</f>
        <v>2.4</v>
      </c>
      <c r="AF215" s="107">
        <f ca="1">IFERROR(__xludf.DUMMYFUNCTION("""COMPUTED_VALUE"""),5)</f>
        <v>5</v>
      </c>
      <c r="AG215" s="223"/>
      <c r="AH215" s="109">
        <f ca="1">IFERROR(__xludf.DUMMYFUNCTION("""COMPUTED_VALUE"""),2.26285714285714)</f>
        <v>2.2628571428571398</v>
      </c>
      <c r="AI215" s="109">
        <f ca="1">IFERROR(__xludf.DUMMYFUNCTION("""COMPUTED_VALUE"""),5)</f>
        <v>5</v>
      </c>
      <c r="AJ215" s="223"/>
      <c r="AK215" s="107">
        <f ca="1">IFERROR(__xludf.DUMMYFUNCTION("""COMPUTED_VALUE"""),2.4)</f>
        <v>2.4</v>
      </c>
      <c r="AL215" s="107">
        <f ca="1">IFERROR(__xludf.DUMMYFUNCTION("""COMPUTED_VALUE"""),5)</f>
        <v>5</v>
      </c>
      <c r="AM215" s="223"/>
      <c r="AN215" s="111">
        <f ca="1">IFERROR(__xludf.DUMMYFUNCTION("""COMPUTED_VALUE"""),2.21538461538461)</f>
        <v>2.2153846153846102</v>
      </c>
      <c r="AO215" s="111">
        <f ca="1">IFERROR(__xludf.DUMMYFUNCTION("""COMPUTED_VALUE"""),4)</f>
        <v>4</v>
      </c>
      <c r="AP215" s="223"/>
      <c r="AQ215" s="113">
        <f ca="1">IFERROR(__xludf.DUMMYFUNCTION("""COMPUTED_VALUE"""),0)</f>
        <v>0</v>
      </c>
      <c r="AR215" s="113">
        <f ca="1">IFERROR(__xludf.DUMMYFUNCTION("""COMPUTED_VALUE"""),0)</f>
        <v>0</v>
      </c>
      <c r="AS215" s="223"/>
      <c r="AT215" s="109">
        <f ca="1">IFERROR(__xludf.DUMMYFUNCTION("""COMPUTED_VALUE"""),0)</f>
        <v>0</v>
      </c>
      <c r="AU215" s="109">
        <f ca="1">IFERROR(__xludf.DUMMYFUNCTION("""COMPUTED_VALUE"""),0)</f>
        <v>0</v>
      </c>
      <c r="AV215" s="223"/>
      <c r="AW215" s="109">
        <f ca="1">IFERROR(__xludf.DUMMYFUNCTION("""COMPUTED_VALUE"""),0)</f>
        <v>0</v>
      </c>
      <c r="AX215" s="109">
        <f ca="1">IFERROR(__xludf.DUMMYFUNCTION("""COMPUTED_VALUE"""),0)</f>
        <v>0</v>
      </c>
      <c r="AY215" s="223"/>
      <c r="AZ215" s="109">
        <f ca="1">IFERROR(__xludf.DUMMYFUNCTION("""COMPUTED_VALUE"""),0)</f>
        <v>0</v>
      </c>
      <c r="BA215" s="109">
        <f ca="1">IFERROR(__xludf.DUMMYFUNCTION("""COMPUTED_VALUE"""),0)</f>
        <v>0</v>
      </c>
      <c r="BB215" s="223"/>
      <c r="BC215" s="109">
        <f ca="1">IFERROR(__xludf.DUMMYFUNCTION("""COMPUTED_VALUE"""),0)</f>
        <v>0</v>
      </c>
      <c r="BD215" s="109">
        <f ca="1">IFERROR(__xludf.DUMMYFUNCTION("""COMPUTED_VALUE"""),0)</f>
        <v>0</v>
      </c>
      <c r="BE215" s="223"/>
      <c r="BF215" s="109">
        <f ca="1">IFERROR(__xludf.DUMMYFUNCTION("""COMPUTED_VALUE"""),0)</f>
        <v>0</v>
      </c>
      <c r="BG215" s="109">
        <f ca="1">IFERROR(__xludf.DUMMYFUNCTION("""COMPUTED_VALUE"""),0)</f>
        <v>0</v>
      </c>
      <c r="BH215" s="223"/>
      <c r="BI215" s="46"/>
    </row>
    <row r="216" spans="1:61" ht="13.8" x14ac:dyDescent="0.25">
      <c r="A216" s="46"/>
      <c r="B216" s="253" t="str">
        <f ca="1">IFERROR(__xludf.DUMMYFUNCTION("""COMPUTED_VALUE"""),"% of failure ")</f>
        <v xml:space="preserve">% of failure </v>
      </c>
      <c r="C216" s="218"/>
      <c r="D216" s="253" t="str">
        <f ca="1">IFERROR(__xludf.DUMMYFUNCTION("""COMPUTED_VALUE"""),"% of failure ")</f>
        <v xml:space="preserve">% of failure </v>
      </c>
      <c r="E216" s="218"/>
      <c r="F216" s="218"/>
      <c r="G216" s="218"/>
      <c r="H216" s="218"/>
      <c r="I216" s="218"/>
      <c r="J216" s="219"/>
      <c r="K216" s="96">
        <f ca="1">IFERROR(__xludf.DUMMYFUNCTION("""COMPUTED_VALUE"""),0.118279569892473)</f>
        <v>0.118279569892473</v>
      </c>
      <c r="L216" s="223"/>
      <c r="M216" s="115">
        <f ca="1">IFERROR(__xludf.DUMMYFUNCTION("""COMPUTED_VALUE"""),0.193548387096774)</f>
        <v>0.19354838709677399</v>
      </c>
      <c r="N216" s="225"/>
      <c r="O216" s="223"/>
      <c r="P216" s="115">
        <f ca="1">IFERROR(__xludf.DUMMYFUNCTION("""COMPUTED_VALUE"""),0.021505376344086)</f>
        <v>2.1505376344085999E-2</v>
      </c>
      <c r="Q216" s="250"/>
      <c r="R216" s="223"/>
      <c r="S216" s="115">
        <f ca="1">IFERROR(__xludf.DUMMYFUNCTION("""COMPUTED_VALUE"""),0.161290322580645)</f>
        <v>0.16129032258064499</v>
      </c>
      <c r="T216" s="243"/>
      <c r="U216" s="223"/>
      <c r="V216" s="115">
        <f ca="1">IFERROR(__xludf.DUMMYFUNCTION("""COMPUTED_VALUE"""),0.10752688172043)</f>
        <v>0.10752688172043</v>
      </c>
      <c r="W216" s="252"/>
      <c r="X216" s="223"/>
      <c r="Y216" s="115">
        <f ca="1">IFERROR(__xludf.DUMMYFUNCTION("""COMPUTED_VALUE"""),0.021505376344086)</f>
        <v>2.1505376344085999E-2</v>
      </c>
      <c r="Z216" s="244"/>
      <c r="AA216" s="223"/>
      <c r="AB216" s="115">
        <f ca="1">IFERROR(__xludf.DUMMYFUNCTION("""COMPUTED_VALUE"""),0.419354838709677)</f>
        <v>0.41935483870967699</v>
      </c>
      <c r="AC216" s="225"/>
      <c r="AD216" s="223"/>
      <c r="AE216" s="115">
        <f ca="1">IFERROR(__xludf.DUMMYFUNCTION("""COMPUTED_VALUE"""),0.118279569892473)</f>
        <v>0.118279569892473</v>
      </c>
      <c r="AF216" s="247"/>
      <c r="AG216" s="223"/>
      <c r="AH216" s="115">
        <f ca="1">IFERROR(__xludf.DUMMYFUNCTION("""COMPUTED_VALUE"""),0.32258064516129)</f>
        <v>0.32258064516128998</v>
      </c>
      <c r="AI216" s="226"/>
      <c r="AJ216" s="223"/>
      <c r="AK216" s="115">
        <f ca="1">IFERROR(__xludf.DUMMYFUNCTION("""COMPUTED_VALUE"""),0.021505376344086)</f>
        <v>2.1505376344085999E-2</v>
      </c>
      <c r="AL216" s="247"/>
      <c r="AM216" s="223"/>
      <c r="AN216" s="115">
        <f ca="1">IFERROR(__xludf.DUMMYFUNCTION("""COMPUTED_VALUE"""),0.64516129032258)</f>
        <v>0.64516129032257996</v>
      </c>
      <c r="AO216" s="233"/>
      <c r="AP216" s="223"/>
      <c r="AQ216" s="115">
        <f ca="1">IFERROR(__xludf.DUMMYFUNCTION("""COMPUTED_VALUE"""),0)</f>
        <v>0</v>
      </c>
      <c r="AR216" s="248"/>
      <c r="AS216" s="223"/>
      <c r="AT216" s="115">
        <f ca="1">IFERROR(__xludf.DUMMYFUNCTION("""COMPUTED_VALUE"""),0)</f>
        <v>0</v>
      </c>
      <c r="AU216" s="226"/>
      <c r="AV216" s="223"/>
      <c r="AW216" s="115">
        <f ca="1">IFERROR(__xludf.DUMMYFUNCTION("""COMPUTED_VALUE"""),0)</f>
        <v>0</v>
      </c>
      <c r="AX216" s="226"/>
      <c r="AY216" s="223"/>
      <c r="AZ216" s="115">
        <f ca="1">IFERROR(__xludf.DUMMYFUNCTION("""COMPUTED_VALUE"""),0)</f>
        <v>0</v>
      </c>
      <c r="BA216" s="226"/>
      <c r="BB216" s="223"/>
      <c r="BC216" s="115">
        <f ca="1">IFERROR(__xludf.DUMMYFUNCTION("""COMPUTED_VALUE"""),0)</f>
        <v>0</v>
      </c>
      <c r="BD216" s="226"/>
      <c r="BE216" s="223"/>
      <c r="BF216" s="115">
        <f ca="1">IFERROR(__xludf.DUMMYFUNCTION("""COMPUTED_VALUE"""),0)</f>
        <v>0</v>
      </c>
      <c r="BG216" s="226"/>
      <c r="BH216" s="223"/>
      <c r="BI216" s="46"/>
    </row>
    <row r="217" spans="1:61" ht="13.8" x14ac:dyDescent="0.25">
      <c r="A217" s="46"/>
      <c r="B217" s="253" t="str">
        <f ca="1">IFERROR(__xludf.DUMMYFUNCTION("""COMPUTED_VALUE"""),"variance ")</f>
        <v xml:space="preserve">variance </v>
      </c>
      <c r="C217" s="218"/>
      <c r="D217" s="253" t="str">
        <f ca="1">IFERROR(__xludf.DUMMYFUNCTION("""COMPUTED_VALUE"""),"variance ")</f>
        <v xml:space="preserve">variance </v>
      </c>
      <c r="E217" s="218"/>
      <c r="F217" s="218"/>
      <c r="G217" s="218"/>
      <c r="H217" s="218"/>
      <c r="I217" s="218"/>
      <c r="J217" s="219"/>
      <c r="K217" s="96">
        <f ca="1">IFERROR(__xludf.DUMMYFUNCTION("""COMPUTED_VALUE"""),6.16911084033613)</f>
        <v>6.1691108403361303</v>
      </c>
      <c r="L217" s="223"/>
      <c r="M217" s="97">
        <f ca="1">IFERROR(__xludf.DUMMYFUNCTION("""COMPUTED_VALUE"""),0.113162187180796)</f>
        <v>0.113162187180796</v>
      </c>
      <c r="N217" s="223"/>
      <c r="O217" s="223"/>
      <c r="P217" s="99">
        <f ca="1">IFERROR(__xludf.DUMMYFUNCTION("""COMPUTED_VALUE"""),0.0886681072554869)</f>
        <v>8.8668107255486905E-2</v>
      </c>
      <c r="Q217" s="223"/>
      <c r="R217" s="223"/>
      <c r="S217" s="101">
        <f ca="1">IFERROR(__xludf.DUMMYFUNCTION("""COMPUTED_VALUE"""),0.154290091930541)</f>
        <v>0.154290091930541</v>
      </c>
      <c r="T217" s="223"/>
      <c r="U217" s="223"/>
      <c r="V217" s="103">
        <f ca="1">IFERROR(__xludf.DUMMYFUNCTION("""COMPUTED_VALUE"""),0.195256792645556)</f>
        <v>0.19525679264555601</v>
      </c>
      <c r="W217" s="223"/>
      <c r="X217" s="223"/>
      <c r="Y217" s="105">
        <f ca="1">IFERROR(__xludf.DUMMYFUNCTION("""COMPUTED_VALUE"""),0.0966631256384066)</f>
        <v>9.6663125638406594E-2</v>
      </c>
      <c r="Z217" s="223"/>
      <c r="AA217" s="223"/>
      <c r="AB217" s="97">
        <f ca="1">IFERROR(__xludf.DUMMYFUNCTION("""COMPUTED_VALUE"""),0.317407262277951)</f>
        <v>0.31740726227795102</v>
      </c>
      <c r="AC217" s="223"/>
      <c r="AD217" s="223"/>
      <c r="AE217" s="107">
        <f ca="1">IFERROR(__xludf.DUMMYFUNCTION("""COMPUTED_VALUE"""),0.131706900919305)</f>
        <v>0.13170690091930501</v>
      </c>
      <c r="AF217" s="223"/>
      <c r="AG217" s="223"/>
      <c r="AH217" s="109">
        <f ca="1">IFERROR(__xludf.DUMMYFUNCTION("""COMPUTED_VALUE"""),0.13256248983761)</f>
        <v>0.13256248983760999</v>
      </c>
      <c r="AI217" s="223"/>
      <c r="AJ217" s="223"/>
      <c r="AK217" s="107">
        <f ca="1">IFERROR(__xludf.DUMMYFUNCTION("""COMPUTED_VALUE"""),0.0600062244637384)</f>
        <v>6.0006224463738399E-2</v>
      </c>
      <c r="AL217" s="223"/>
      <c r="AM217" s="223"/>
      <c r="AN217" s="111">
        <f ca="1">IFERROR(__xludf.DUMMYFUNCTION("""COMPUTED_VALUE"""),0.388800815936667)</f>
        <v>0.38880081593666699</v>
      </c>
      <c r="AO217" s="223"/>
      <c r="AP217" s="223"/>
      <c r="AQ217" s="113" t="str">
        <f ca="1">IFERROR(__xludf.DUMMYFUNCTION("""COMPUTED_VALUE"""),"")</f>
        <v/>
      </c>
      <c r="AR217" s="223"/>
      <c r="AS217" s="223"/>
      <c r="AT217" s="109" t="str">
        <f ca="1">IFERROR(__xludf.DUMMYFUNCTION("""COMPUTED_VALUE"""),"")</f>
        <v/>
      </c>
      <c r="AU217" s="223"/>
      <c r="AV217" s="223"/>
      <c r="AW217" s="109" t="str">
        <f ca="1">IFERROR(__xludf.DUMMYFUNCTION("""COMPUTED_VALUE"""),"")</f>
        <v/>
      </c>
      <c r="AX217" s="223"/>
      <c r="AY217" s="223"/>
      <c r="AZ217" s="109" t="str">
        <f ca="1">IFERROR(__xludf.DUMMYFUNCTION("""COMPUTED_VALUE"""),"")</f>
        <v/>
      </c>
      <c r="BA217" s="223"/>
      <c r="BB217" s="223"/>
      <c r="BC217" s="109" t="str">
        <f ca="1">IFERROR(__xludf.DUMMYFUNCTION("""COMPUTED_VALUE"""),"")</f>
        <v/>
      </c>
      <c r="BD217" s="223"/>
      <c r="BE217" s="223"/>
      <c r="BF217" s="109" t="str">
        <f ca="1">IFERROR(__xludf.DUMMYFUNCTION("""COMPUTED_VALUE"""),"")</f>
        <v/>
      </c>
      <c r="BG217" s="223"/>
      <c r="BH217" s="223"/>
      <c r="BI217" s="46"/>
    </row>
    <row r="218" spans="1:61" ht="13.8" x14ac:dyDescent="0.25">
      <c r="A218" s="46"/>
      <c r="B218" s="253" t="str">
        <f ca="1">IFERROR(__xludf.DUMMYFUNCTION("""COMPUTED_VALUE"""),"Cronbach alpha if item is deleted")</f>
        <v>Cronbach alpha if item is deleted</v>
      </c>
      <c r="C218" s="218"/>
      <c r="D218" s="253" t="str">
        <f ca="1">IFERROR(__xludf.DUMMYFUNCTION("""COMPUTED_VALUE"""),"Cronbach alpha if item is deleted")</f>
        <v>Cronbach alpha if item is deleted</v>
      </c>
      <c r="E218" s="218"/>
      <c r="F218" s="218"/>
      <c r="G218" s="218"/>
      <c r="H218" s="218"/>
      <c r="I218" s="218"/>
      <c r="J218" s="219"/>
      <c r="K218" s="96">
        <f ca="1">IFERROR(__xludf.DUMMYFUNCTION("""COMPUTED_VALUE"""),0.808794178767186)</f>
        <v>0.80879417876718596</v>
      </c>
      <c r="L218" s="223"/>
      <c r="M218" s="96">
        <f ca="1">IFERROR(__xludf.DUMMYFUNCTION("""COMPUTED_VALUE"""),0.829175683782805)</f>
        <v>0.82917568378280504</v>
      </c>
      <c r="N218" s="223"/>
      <c r="O218" s="223"/>
      <c r="P218" s="96">
        <f ca="1">IFERROR(__xludf.DUMMYFUNCTION("""COMPUTED_VALUE"""),0.824764084596824)</f>
        <v>0.82476408459682404</v>
      </c>
      <c r="Q218" s="223"/>
      <c r="R218" s="223"/>
      <c r="S218" s="96">
        <f ca="1">IFERROR(__xludf.DUMMYFUNCTION("""COMPUTED_VALUE"""),0.836583181091067)</f>
        <v>0.836583181091067</v>
      </c>
      <c r="T218" s="223"/>
      <c r="U218" s="223"/>
      <c r="V218" s="96">
        <f ca="1">IFERROR(__xludf.DUMMYFUNCTION("""COMPUTED_VALUE"""),0.843961644135109)</f>
        <v>0.84396164413510899</v>
      </c>
      <c r="W218" s="223"/>
      <c r="X218" s="223"/>
      <c r="Y218" s="96">
        <f ca="1">IFERROR(__xludf.DUMMYFUNCTION("""COMPUTED_VALUE"""),0.826204057712676)</f>
        <v>0.82620405771267602</v>
      </c>
      <c r="Z218" s="223"/>
      <c r="AA218" s="223"/>
      <c r="AB218" s="96">
        <f ca="1">IFERROR(__xludf.DUMMYFUNCTION("""COMPUTED_VALUE"""),0.865962017859728)</f>
        <v>0.86596201785972804</v>
      </c>
      <c r="AC218" s="223"/>
      <c r="AD218" s="223"/>
      <c r="AE218" s="96">
        <f ca="1">IFERROR(__xludf.DUMMYFUNCTION("""COMPUTED_VALUE"""),0.832515749802126)</f>
        <v>0.83251574980212595</v>
      </c>
      <c r="AF218" s="223"/>
      <c r="AG218" s="223"/>
      <c r="AH218" s="96">
        <f ca="1">IFERROR(__xludf.DUMMYFUNCTION("""COMPUTED_VALUE"""),0.832669848890029)</f>
        <v>0.83266984889002904</v>
      </c>
      <c r="AI218" s="223"/>
      <c r="AJ218" s="223"/>
      <c r="AK218" s="96">
        <f ca="1">IFERROR(__xludf.DUMMYFUNCTION("""COMPUTED_VALUE"""),0.819601827464556)</f>
        <v>0.81960182746455601</v>
      </c>
      <c r="AL218" s="223"/>
      <c r="AM218" s="223"/>
      <c r="AN218" s="96">
        <f ca="1">IFERROR(__xludf.DUMMYFUNCTION("""COMPUTED_VALUE"""),0.878820624680867)</f>
        <v>0.87882062468086697</v>
      </c>
      <c r="AO218" s="223"/>
      <c r="AP218" s="223"/>
      <c r="AQ218" s="96" t="str">
        <f ca="1">IFERROR(__xludf.DUMMYFUNCTION("""COMPUTED_VALUE"""),"")</f>
        <v/>
      </c>
      <c r="AR218" s="223"/>
      <c r="AS218" s="223"/>
      <c r="AT218" s="96" t="str">
        <f ca="1">IFERROR(__xludf.DUMMYFUNCTION("""COMPUTED_VALUE"""),"")</f>
        <v/>
      </c>
      <c r="AU218" s="223"/>
      <c r="AV218" s="223"/>
      <c r="AW218" s="96" t="str">
        <f ca="1">IFERROR(__xludf.DUMMYFUNCTION("""COMPUTED_VALUE"""),"")</f>
        <v/>
      </c>
      <c r="AX218" s="223"/>
      <c r="AY218" s="223"/>
      <c r="AZ218" s="96" t="str">
        <f ca="1">IFERROR(__xludf.DUMMYFUNCTION("""COMPUTED_VALUE"""),"")</f>
        <v/>
      </c>
      <c r="BA218" s="223"/>
      <c r="BB218" s="223"/>
      <c r="BC218" s="96" t="str">
        <f ca="1">IFERROR(__xludf.DUMMYFUNCTION("""COMPUTED_VALUE"""),"")</f>
        <v/>
      </c>
      <c r="BD218" s="223"/>
      <c r="BE218" s="223"/>
      <c r="BF218" s="96" t="str">
        <f ca="1">IFERROR(__xludf.DUMMYFUNCTION("""COMPUTED_VALUE"""),"")</f>
        <v/>
      </c>
      <c r="BG218" s="223"/>
      <c r="BH218" s="223"/>
      <c r="BI218" s="46"/>
    </row>
    <row r="219" spans="1:61" ht="13.8" x14ac:dyDescent="0.25">
      <c r="A219" s="46"/>
      <c r="B219" s="253" t="str">
        <f ca="1">IFERROR(__xludf.DUMMYFUNCTION("""COMPUTED_VALUE"""),"Coefficient of determination R2")</f>
        <v>Coefficient of determination R2</v>
      </c>
      <c r="C219" s="218"/>
      <c r="D219" s="253" t="str">
        <f ca="1">IFERROR(__xludf.DUMMYFUNCTION("""COMPUTED_VALUE"""),"Coefficient of determination R2")</f>
        <v>Coefficient of determination R2</v>
      </c>
      <c r="E219" s="218"/>
      <c r="F219" s="218"/>
      <c r="G219" s="218"/>
      <c r="H219" s="218"/>
      <c r="I219" s="218"/>
      <c r="J219" s="219"/>
      <c r="K219" s="116" t="str">
        <f ca="1">IFERROR(__xludf.DUMMYFUNCTION("""COMPUTED_VALUE"""),"Standard Error of Mean")</f>
        <v>Standard Error of Mean</v>
      </c>
      <c r="L219" s="223"/>
      <c r="M219" s="97">
        <f ca="1">IFERROR(__xludf.DUMMYFUNCTION("""COMPUTED_VALUE"""),0.403766503231116)</f>
        <v>0.40376650323111601</v>
      </c>
      <c r="N219" s="223"/>
      <c r="O219" s="223"/>
      <c r="P219" s="99">
        <f ca="1">IFERROR(__xludf.DUMMYFUNCTION("""COMPUTED_VALUE"""),0.658225683564999)</f>
        <v>0.658225683564999</v>
      </c>
      <c r="Q219" s="223"/>
      <c r="R219" s="223"/>
      <c r="S219" s="101">
        <f ca="1">IFERROR(__xludf.DUMMYFUNCTION("""COMPUTED_VALUE"""),0.74110819894197)</f>
        <v>0.74110819894197</v>
      </c>
      <c r="T219" s="223"/>
      <c r="U219" s="223"/>
      <c r="V219" s="103">
        <f ca="1">IFERROR(__xludf.DUMMYFUNCTION("""COMPUTED_VALUE"""),0.502696447335624)</f>
        <v>0.50269644733562402</v>
      </c>
      <c r="W219" s="223"/>
      <c r="X219" s="223"/>
      <c r="Y219" s="105">
        <f ca="1">IFERROR(__xludf.DUMMYFUNCTION("""COMPUTED_VALUE"""),0.565107604548067)</f>
        <v>0.56510760454806697</v>
      </c>
      <c r="Z219" s="223"/>
      <c r="AA219" s="223"/>
      <c r="AB219" s="97">
        <f ca="1">IFERROR(__xludf.DUMMYFUNCTION("""COMPUTED_VALUE"""),0.869279038844059)</f>
        <v>0.86927903884405899</v>
      </c>
      <c r="AC219" s="223"/>
      <c r="AD219" s="223"/>
      <c r="AE219" s="107">
        <f ca="1">IFERROR(__xludf.DUMMYFUNCTION("""COMPUTED_VALUE"""),0.692782214228704)</f>
        <v>0.69278221422870401</v>
      </c>
      <c r="AF219" s="223"/>
      <c r="AG219" s="223"/>
      <c r="AH219" s="109">
        <f ca="1">IFERROR(__xludf.DUMMYFUNCTION("""COMPUTED_VALUE"""),0.452228988758132)</f>
        <v>0.452228988758132</v>
      </c>
      <c r="AI219" s="223"/>
      <c r="AJ219" s="223"/>
      <c r="AK219" s="107">
        <f ca="1">IFERROR(__xludf.DUMMYFUNCTION("""COMPUTED_VALUE"""),0.580181147816565)</f>
        <v>0.58018114781656505</v>
      </c>
      <c r="AL219" s="223"/>
      <c r="AM219" s="223"/>
      <c r="AN219" s="111">
        <f ca="1">IFERROR(__xludf.DUMMYFUNCTION("""COMPUTED_VALUE"""),0.660797041274378)</f>
        <v>0.66079704127437799</v>
      </c>
      <c r="AO219" s="223"/>
      <c r="AP219" s="223"/>
      <c r="AQ219" s="113"/>
      <c r="AR219" s="223"/>
      <c r="AS219" s="223"/>
      <c r="AT219" s="109"/>
      <c r="AU219" s="223"/>
      <c r="AV219" s="223"/>
      <c r="AW219" s="109"/>
      <c r="AX219" s="223"/>
      <c r="AY219" s="223"/>
      <c r="AZ219" s="109"/>
      <c r="BA219" s="223"/>
      <c r="BB219" s="223"/>
      <c r="BC219" s="109"/>
      <c r="BD219" s="223"/>
      <c r="BE219" s="223"/>
      <c r="BF219" s="109"/>
      <c r="BG219" s="223"/>
      <c r="BH219" s="223"/>
      <c r="BI219" s="46"/>
    </row>
    <row r="220" spans="1:61" ht="13.8" x14ac:dyDescent="0.25">
      <c r="A220" s="46"/>
      <c r="B220" s="253" t="str">
        <f ca="1">IFERROR(__xludf.DUMMYFUNCTION("""COMPUTED_VALUE"""),"Inter-grade discrimination (slope of regression line)")</f>
        <v>Inter-grade discrimination (slope of regression line)</v>
      </c>
      <c r="C220" s="218"/>
      <c r="D220" s="253" t="str">
        <f ca="1">IFERROR(__xludf.DUMMYFUNCTION("""COMPUTED_VALUE"""),"Inter-grade discrimination (slope of regression line)")</f>
        <v>Inter-grade discrimination (slope of regression line)</v>
      </c>
      <c r="E220" s="218"/>
      <c r="F220" s="218"/>
      <c r="G220" s="218"/>
      <c r="H220" s="218"/>
      <c r="I220" s="218"/>
      <c r="J220" s="219"/>
      <c r="K220" s="113">
        <f ca="1">IFERROR(__xludf.DUMMYFUNCTION("""COMPUTED_VALUE"""),1.08608006357851)</f>
        <v>1.0860800635785099</v>
      </c>
      <c r="L220" s="223"/>
      <c r="M220" s="97">
        <f ca="1">IFERROR(__xludf.DUMMYFUNCTION("""COMPUTED_VALUE"""),0.0295002431906614)</f>
        <v>2.9500243190661399E-2</v>
      </c>
      <c r="N220" s="223"/>
      <c r="O220" s="223"/>
      <c r="P220" s="99">
        <f ca="1">IFERROR(__xludf.DUMMYFUNCTION("""COMPUTED_VALUE"""),0.0341740979445168)</f>
        <v>3.4174097944516799E-2</v>
      </c>
      <c r="Q220" s="223"/>
      <c r="R220" s="223"/>
      <c r="S220" s="101">
        <f ca="1">IFERROR(__xludf.DUMMYFUNCTION("""COMPUTED_VALUE"""),0.0321356088560885)</f>
        <v>3.2135608856088502E-2</v>
      </c>
      <c r="T220" s="223"/>
      <c r="U220" s="223"/>
      <c r="V220" s="103">
        <f ca="1">IFERROR(__xludf.DUMMYFUNCTION("""COMPUTED_VALUE"""),0.0362877697841726)</f>
        <v>3.6287769784172599E-2</v>
      </c>
      <c r="W220" s="223"/>
      <c r="X220" s="223"/>
      <c r="Y220" s="105">
        <f ca="1">IFERROR(__xludf.DUMMYFUNCTION("""COMPUTED_VALUE"""),0.0317725342142519)</f>
        <v>3.1772534214251899E-2</v>
      </c>
      <c r="Z220" s="223"/>
      <c r="AA220" s="223"/>
      <c r="AB220" s="97">
        <f ca="1">IFERROR(__xludf.DUMMYFUNCTION("""COMPUTED_VALUE"""),0.0468331429758072)</f>
        <v>4.68331429758072E-2</v>
      </c>
      <c r="AC220" s="223"/>
      <c r="AD220" s="223"/>
      <c r="AE220" s="107">
        <f ca="1">IFERROR(__xludf.DUMMYFUNCTION("""COMPUTED_VALUE"""),0.0296078508341511)</f>
        <v>2.96078508341511E-2</v>
      </c>
      <c r="AF220" s="223"/>
      <c r="AG220" s="223"/>
      <c r="AH220" s="109">
        <f ca="1">IFERROR(__xludf.DUMMYFUNCTION("""COMPUTED_VALUE"""),0.0329902642559109)</f>
        <v>3.2990264255910902E-2</v>
      </c>
      <c r="AI220" s="223"/>
      <c r="AJ220" s="223"/>
      <c r="AK220" s="107">
        <f ca="1">IFERROR(__xludf.DUMMYFUNCTION("""COMPUTED_VALUE"""),0.0224625277572168)</f>
        <v>2.2462527757216799E-2</v>
      </c>
      <c r="AL220" s="223"/>
      <c r="AM220" s="223"/>
      <c r="AN220" s="111">
        <f ca="1">IFERROR(__xludf.DUMMYFUNCTION("""COMPUTED_VALUE"""),0.05401921881723)</f>
        <v>5.401921881723E-2</v>
      </c>
      <c r="AO220" s="223"/>
      <c r="AP220" s="223"/>
      <c r="AQ220" s="113"/>
      <c r="AR220" s="223"/>
      <c r="AS220" s="223"/>
      <c r="AT220" s="109"/>
      <c r="AU220" s="223"/>
      <c r="AV220" s="223"/>
      <c r="AW220" s="109"/>
      <c r="AX220" s="223"/>
      <c r="AY220" s="223"/>
      <c r="AZ220" s="109"/>
      <c r="BA220" s="223"/>
      <c r="BB220" s="223"/>
      <c r="BC220" s="109"/>
      <c r="BD220" s="223"/>
      <c r="BE220" s="223"/>
      <c r="BF220" s="109"/>
      <c r="BG220" s="223"/>
      <c r="BH220" s="223"/>
      <c r="BI220" s="46"/>
    </row>
    <row r="221" spans="1:61" ht="13.8" x14ac:dyDescent="0.25">
      <c r="A221" s="46"/>
      <c r="B221" s="253" t="str">
        <f ca="1">IFERROR(__xludf.DUMMYFUNCTION("""COMPUTED_VALUE"""),"Between-group variation")</f>
        <v>Between-group variation</v>
      </c>
      <c r="C221" s="218"/>
      <c r="D221" s="253" t="str">
        <f ca="1">IFERROR(__xludf.DUMMYFUNCTION("""COMPUTED_VALUE"""),"Between-group variation")</f>
        <v>Between-group variation</v>
      </c>
      <c r="E221" s="218"/>
      <c r="F221" s="218"/>
      <c r="G221" s="218"/>
      <c r="H221" s="218"/>
      <c r="I221" s="218"/>
      <c r="J221" s="219"/>
      <c r="K221" s="96">
        <f ca="1">IFERROR(__xludf.DUMMYFUNCTION("""COMPUTED_VALUE"""),0.0000652683042162969)</f>
        <v>6.5268304216296901E-5</v>
      </c>
      <c r="L221" s="224"/>
      <c r="M221" s="97">
        <f ca="1">IFERROR(__xludf.DUMMYFUNCTION("""COMPUTED_VALUE"""),0.000124793586323227)</f>
        <v>1.24793586323227E-4</v>
      </c>
      <c r="N221" s="224"/>
      <c r="O221" s="224"/>
      <c r="P221" s="99">
        <f ca="1">IFERROR(__xludf.DUMMYFUNCTION("""COMPUTED_VALUE"""),0.0000279678763123146)</f>
        <v>2.7967876312314602E-5</v>
      </c>
      <c r="Q221" s="224"/>
      <c r="R221" s="224"/>
      <c r="S221" s="101">
        <f ca="1">IFERROR(__xludf.DUMMYFUNCTION("""COMPUTED_VALUE"""),0.000106021887193684)</f>
        <v>1.06021887193684E-4</v>
      </c>
      <c r="T221" s="224"/>
      <c r="U221" s="224"/>
      <c r="V221" s="103">
        <f ca="1">IFERROR(__xludf.DUMMYFUNCTION("""COMPUTED_VALUE"""),0.000103374780593748)</f>
        <v>1.03374780593748E-4</v>
      </c>
      <c r="W221" s="224"/>
      <c r="X221" s="224"/>
      <c r="Y221" s="105">
        <f ca="1">IFERROR(__xludf.DUMMYFUNCTION("""COMPUTED_VALUE"""),0.0000736527407448395)</f>
        <v>7.3652740744839496E-5</v>
      </c>
      <c r="Z221" s="224"/>
      <c r="AA221" s="224"/>
      <c r="AB221" s="97">
        <f ca="1">IFERROR(__xludf.DUMMYFUNCTION("""COMPUTED_VALUE"""),0.0000581249803683724)</f>
        <v>5.8124980368372401E-5</v>
      </c>
      <c r="AC221" s="224"/>
      <c r="AD221" s="224"/>
      <c r="AE221" s="107">
        <f ca="1">IFERROR(__xludf.DUMMYFUNCTION("""COMPUTED_VALUE"""),0.000158594586338612)</f>
        <v>1.5859458633861199E-4</v>
      </c>
      <c r="AF221" s="224"/>
      <c r="AG221" s="224"/>
      <c r="AH221" s="109">
        <f ca="1">IFERROR(__xludf.DUMMYFUNCTION("""COMPUTED_VALUE"""),0.0000491868445327169)</f>
        <v>4.9186844532716898E-5</v>
      </c>
      <c r="AI221" s="224"/>
      <c r="AJ221" s="224"/>
      <c r="AK221" s="107">
        <f ca="1">IFERROR(__xludf.DUMMYFUNCTION("""COMPUTED_VALUE"""),0.0000503853979652903)</f>
        <v>5.0385397965290299E-5</v>
      </c>
      <c r="AL221" s="224"/>
      <c r="AM221" s="224"/>
      <c r="AN221" s="111">
        <f ca="1">IFERROR(__xludf.DUMMYFUNCTION("""COMPUTED_VALUE"""),0.000180558220442078)</f>
        <v>1.8055822044207799E-4</v>
      </c>
      <c r="AO221" s="224"/>
      <c r="AP221" s="224"/>
      <c r="AQ221" s="113"/>
      <c r="AR221" s="224"/>
      <c r="AS221" s="224"/>
      <c r="AT221" s="109"/>
      <c r="AU221" s="224"/>
      <c r="AV221" s="224"/>
      <c r="AW221" s="109"/>
      <c r="AX221" s="224"/>
      <c r="AY221" s="224"/>
      <c r="AZ221" s="109"/>
      <c r="BA221" s="224"/>
      <c r="BB221" s="224"/>
      <c r="BC221" s="109"/>
      <c r="BD221" s="224"/>
      <c r="BE221" s="224"/>
      <c r="BF221" s="109"/>
      <c r="BG221" s="224"/>
      <c r="BH221" s="224"/>
      <c r="BI221" s="46"/>
    </row>
    <row r="222" spans="1:61" ht="13.8" x14ac:dyDescent="0.25">
      <c r="A222" s="117"/>
      <c r="B222" s="117"/>
      <c r="C222" s="117"/>
      <c r="D222" s="117"/>
      <c r="E222" s="117"/>
      <c r="F222" s="117"/>
      <c r="G222" s="117"/>
      <c r="H222" s="117"/>
      <c r="I222" s="117"/>
      <c r="J222" s="118"/>
      <c r="K222" s="119"/>
      <c r="L222" s="117"/>
      <c r="M222" s="119"/>
      <c r="N222" s="119"/>
      <c r="O222" s="117"/>
      <c r="P222" s="117"/>
      <c r="Q222" s="117"/>
      <c r="R222" s="117"/>
      <c r="S222" s="117"/>
      <c r="T222" s="117"/>
      <c r="U222" s="117"/>
      <c r="V222" s="117"/>
      <c r="W222" s="117"/>
      <c r="X222" s="117"/>
      <c r="Y222" s="117"/>
      <c r="Z222" s="117"/>
      <c r="AA222" s="117"/>
      <c r="AB222" s="117"/>
      <c r="AC222" s="117"/>
      <c r="AD222" s="117"/>
      <c r="AE222" s="117"/>
      <c r="AF222" s="117"/>
      <c r="AG222" s="117"/>
      <c r="AH222" s="117"/>
      <c r="AI222" s="117"/>
      <c r="AJ222" s="117"/>
      <c r="AK222" s="117"/>
      <c r="AL222" s="117"/>
      <c r="AM222" s="117"/>
      <c r="AN222" s="117"/>
      <c r="AO222" s="117"/>
      <c r="AP222" s="117"/>
      <c r="AQ222" s="117"/>
      <c r="AR222" s="117"/>
      <c r="AS222" s="117"/>
      <c r="AT222" s="117"/>
      <c r="AU222" s="117"/>
      <c r="AV222" s="117"/>
      <c r="AW222" s="117"/>
      <c r="AX222" s="117"/>
      <c r="AY222" s="117"/>
      <c r="AZ222" s="117"/>
      <c r="BA222" s="117"/>
      <c r="BB222" s="117"/>
      <c r="BC222" s="117"/>
      <c r="BD222" s="117"/>
      <c r="BE222" s="117"/>
      <c r="BF222" s="117"/>
      <c r="BG222" s="117"/>
      <c r="BH222" s="117"/>
      <c r="BI222" s="117"/>
    </row>
    <row r="223" spans="1:61" ht="13.8" x14ac:dyDescent="0.25">
      <c r="A223" s="117"/>
      <c r="B223" s="117"/>
      <c r="C223" s="117"/>
      <c r="D223" s="254" t="str">
        <f ca="1">IFERROR(__xludf.DUMMYFUNCTION("""COMPUTED_VALUE"""),"Avrege Mark per Group ")</f>
        <v xml:space="preserve">Avrege Mark per Group </v>
      </c>
      <c r="E223" s="120" t="str">
        <f ca="1">IFERROR(__xludf.DUMMYFUNCTION("""COMPUTED_VALUE"""),"Group")</f>
        <v>Group</v>
      </c>
      <c r="F223" s="120" t="str">
        <f ca="1">IFERROR(__xludf.DUMMYFUNCTION("""COMPUTED_VALUE"""),"G01")</f>
        <v>G01</v>
      </c>
      <c r="G223" s="120" t="str">
        <f ca="1">IFERROR(__xludf.DUMMYFUNCTION("""COMPUTED_VALUE"""),"G02")</f>
        <v>G02</v>
      </c>
      <c r="H223" s="120" t="str">
        <f ca="1">IFERROR(__xludf.DUMMYFUNCTION("""COMPUTED_VALUE"""),"G03")</f>
        <v>G03</v>
      </c>
      <c r="I223" s="120" t="str">
        <f ca="1">IFERROR(__xludf.DUMMYFUNCTION("""COMPUTED_VALUE"""),"G04")</f>
        <v>G04</v>
      </c>
      <c r="J223" s="121" t="str">
        <f ca="1">IFERROR(__xludf.DUMMYFUNCTION("""COMPUTED_VALUE"""),"G05")</f>
        <v>G05</v>
      </c>
      <c r="K223" s="122" t="str">
        <f ca="1">IFERROR(__xludf.DUMMYFUNCTION("""COMPUTED_VALUE"""),"G06")</f>
        <v>G06</v>
      </c>
      <c r="L223" s="120" t="str">
        <f ca="1">IFERROR(__xludf.DUMMYFUNCTION("""COMPUTED_VALUE"""),"G07")</f>
        <v>G07</v>
      </c>
      <c r="M223" s="122" t="str">
        <f ca="1">IFERROR(__xludf.DUMMYFUNCTION("""COMPUTED_VALUE"""),"G08")</f>
        <v>G08</v>
      </c>
      <c r="N223" s="122" t="str">
        <f ca="1">IFERROR(__xludf.DUMMYFUNCTION("""COMPUTED_VALUE"""),"G09")</f>
        <v>G09</v>
      </c>
      <c r="O223" s="120" t="str">
        <f ca="1">IFERROR(__xludf.DUMMYFUNCTION("""COMPUTED_VALUE"""),"G10")</f>
        <v>G10</v>
      </c>
      <c r="P223" s="120" t="str">
        <f ca="1">IFERROR(__xludf.DUMMYFUNCTION("""COMPUTED_VALUE"""),"G11")</f>
        <v>G11</v>
      </c>
      <c r="Q223" s="120" t="str">
        <f ca="1">IFERROR(__xludf.DUMMYFUNCTION("""COMPUTED_VALUE"""),"G12")</f>
        <v>G12</v>
      </c>
      <c r="R223" s="120" t="str">
        <f ca="1">IFERROR(__xludf.DUMMYFUNCTION("""COMPUTED_VALUE"""),"G13")</f>
        <v>G13</v>
      </c>
      <c r="S223" s="120" t="str">
        <f ca="1">IFERROR(__xludf.DUMMYFUNCTION("""COMPUTED_VALUE"""),"G14")</f>
        <v>G14</v>
      </c>
      <c r="T223" s="120" t="str">
        <f ca="1">IFERROR(__xludf.DUMMYFUNCTION("""COMPUTED_VALUE"""),"G15")</f>
        <v>G15</v>
      </c>
      <c r="U223" s="120"/>
      <c r="V223" s="117"/>
      <c r="W223" s="117"/>
      <c r="X223" s="117"/>
      <c r="Y223" s="117"/>
      <c r="Z223" s="117"/>
      <c r="AA223" s="117"/>
      <c r="AB223" s="117"/>
      <c r="AC223" s="117"/>
      <c r="AD223" s="117"/>
      <c r="AE223" s="117"/>
      <c r="AF223" s="117"/>
      <c r="AG223" s="117"/>
      <c r="AH223" s="117"/>
      <c r="AI223" s="117"/>
      <c r="AJ223" s="117"/>
      <c r="AK223" s="117"/>
      <c r="AL223" s="117"/>
      <c r="AM223" s="117"/>
      <c r="AN223" s="117"/>
      <c r="AO223" s="117"/>
      <c r="AP223" s="117"/>
      <c r="AQ223" s="117"/>
      <c r="AR223" s="117"/>
      <c r="AS223" s="117"/>
      <c r="AT223" s="117"/>
      <c r="AU223" s="117"/>
      <c r="AV223" s="117"/>
      <c r="AW223" s="117"/>
      <c r="AX223" s="117"/>
      <c r="AY223" s="117"/>
      <c r="AZ223" s="117"/>
      <c r="BA223" s="117"/>
      <c r="BB223" s="117"/>
      <c r="BC223" s="117"/>
      <c r="BD223" s="117"/>
      <c r="BE223" s="117"/>
      <c r="BF223" s="117"/>
      <c r="BG223" s="117"/>
      <c r="BH223" s="117"/>
      <c r="BI223" s="117"/>
    </row>
    <row r="224" spans="1:61" ht="13.8" x14ac:dyDescent="0.25">
      <c r="A224" s="117"/>
      <c r="B224" s="117"/>
      <c r="C224" s="117"/>
      <c r="D224" s="223"/>
      <c r="E224" s="123" t="str">
        <f ca="1">IFERROR(__xludf.DUMMYFUNCTION("""COMPUTED_VALUE"""),"#Total")</f>
        <v>#Total</v>
      </c>
      <c r="F224" s="124">
        <f ca="1">IFERROR(__xludf.DUMMYFUNCTION("""COMPUTED_VALUE"""),0.755555555555555)</f>
        <v>0.75555555555555498</v>
      </c>
      <c r="G224" s="124">
        <f ca="1">IFERROR(__xludf.DUMMYFUNCTION("""COMPUTED_VALUE"""),0.733522727272727)</f>
        <v>0.73352272727272705</v>
      </c>
      <c r="H224" s="124">
        <f ca="1">IFERROR(__xludf.DUMMYFUNCTION("""COMPUTED_VALUE"""),0.75675)</f>
        <v>0.75675000000000003</v>
      </c>
      <c r="I224" s="124">
        <f ca="1">IFERROR(__xludf.DUMMYFUNCTION("""COMPUTED_VALUE"""),0.705791666666666)</f>
        <v>0.70579166666666604</v>
      </c>
      <c r="J224" s="124">
        <f ca="1">IFERROR(__xludf.DUMMYFUNCTION("""COMPUTED_VALUE"""),0.718666666666666)</f>
        <v>0.71866666666666601</v>
      </c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17"/>
      <c r="W224" s="117"/>
      <c r="X224" s="117"/>
      <c r="Y224" s="117"/>
      <c r="Z224" s="117"/>
      <c r="AA224" s="117"/>
      <c r="AB224" s="117"/>
      <c r="AC224" s="117"/>
      <c r="AD224" s="117"/>
      <c r="AE224" s="117"/>
      <c r="AF224" s="117"/>
      <c r="AG224" s="117"/>
      <c r="AH224" s="117"/>
      <c r="AI224" s="117"/>
      <c r="AJ224" s="117"/>
      <c r="AK224" s="117"/>
      <c r="AL224" s="117"/>
      <c r="AM224" s="117"/>
      <c r="AN224" s="117"/>
      <c r="AO224" s="117"/>
      <c r="AP224" s="117"/>
      <c r="AQ224" s="117"/>
      <c r="AR224" s="117"/>
      <c r="AS224" s="117"/>
      <c r="AT224" s="117"/>
      <c r="AU224" s="117"/>
      <c r="AV224" s="117"/>
      <c r="AW224" s="117"/>
      <c r="AX224" s="117"/>
      <c r="AY224" s="117"/>
      <c r="AZ224" s="117"/>
      <c r="BA224" s="117"/>
      <c r="BB224" s="117"/>
      <c r="BC224" s="117"/>
      <c r="BD224" s="117"/>
      <c r="BE224" s="117"/>
      <c r="BF224" s="117"/>
      <c r="BG224" s="117"/>
      <c r="BH224" s="117"/>
      <c r="BI224" s="117"/>
    </row>
    <row r="225" spans="1:61" ht="13.8" x14ac:dyDescent="0.25">
      <c r="A225" s="117"/>
      <c r="B225" s="117"/>
      <c r="C225" s="117"/>
      <c r="D225" s="223"/>
      <c r="E225" s="123" t="str">
        <f ca="1">IFERROR(__xludf.DUMMYFUNCTION("""COMPUTED_VALUE"""),"01. Station")</f>
        <v>01. Station</v>
      </c>
      <c r="F225" s="125">
        <f ca="1">IFERROR(__xludf.DUMMYFUNCTION("""COMPUTED_VALUE"""),0.0786458333333333)</f>
        <v>7.8645833333333304E-2</v>
      </c>
      <c r="G225" s="125">
        <f ca="1">IFERROR(__xludf.DUMMYFUNCTION("""COMPUTED_VALUE"""),0.0795454545454545)</f>
        <v>7.9545454545454503E-2</v>
      </c>
      <c r="H225" s="125">
        <f ca="1">IFERROR(__xludf.DUMMYFUNCTION("""COMPUTED_VALUE"""),0.07375)</f>
        <v>7.3749999999999996E-2</v>
      </c>
      <c r="I225" s="125">
        <f ca="1">IFERROR(__xludf.DUMMYFUNCTION("""COMPUTED_VALUE"""),0.073125)</f>
        <v>7.3124999999999996E-2</v>
      </c>
      <c r="J225" s="125">
        <f ca="1">IFERROR(__xludf.DUMMYFUNCTION("""COMPUTED_VALUE"""),0.069375)</f>
        <v>6.9375000000000006E-2</v>
      </c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17"/>
      <c r="W225" s="117"/>
      <c r="X225" s="117"/>
      <c r="Y225" s="117"/>
      <c r="Z225" s="117"/>
      <c r="AA225" s="117"/>
      <c r="AB225" s="117"/>
      <c r="AC225" s="117"/>
      <c r="AD225" s="117"/>
      <c r="AE225" s="117"/>
      <c r="AF225" s="117"/>
      <c r="AG225" s="117"/>
      <c r="AH225" s="117"/>
      <c r="AI225" s="117"/>
      <c r="AJ225" s="117"/>
      <c r="AK225" s="117"/>
      <c r="AL225" s="117"/>
      <c r="AM225" s="117"/>
      <c r="AN225" s="117"/>
      <c r="AO225" s="117"/>
      <c r="AP225" s="117"/>
      <c r="AQ225" s="117"/>
      <c r="AR225" s="117"/>
      <c r="AS225" s="117"/>
      <c r="AT225" s="117"/>
      <c r="AU225" s="117"/>
      <c r="AV225" s="117"/>
      <c r="AW225" s="117"/>
      <c r="AX225" s="117"/>
      <c r="AY225" s="117"/>
      <c r="AZ225" s="117"/>
      <c r="BA225" s="117"/>
      <c r="BB225" s="117"/>
      <c r="BC225" s="117"/>
      <c r="BD225" s="117"/>
      <c r="BE225" s="117"/>
      <c r="BF225" s="117"/>
      <c r="BG225" s="117"/>
      <c r="BH225" s="117"/>
      <c r="BI225" s="117"/>
    </row>
    <row r="226" spans="1:61" ht="13.8" x14ac:dyDescent="0.25">
      <c r="A226" s="117"/>
      <c r="B226" s="117"/>
      <c r="C226" s="117"/>
      <c r="D226" s="223"/>
      <c r="E226" s="123" t="str">
        <f ca="1">IFERROR(__xludf.DUMMYFUNCTION("""COMPUTED_VALUE"""),"02. Station")</f>
        <v>02. Station</v>
      </c>
      <c r="F226" s="125">
        <f ca="1">IFERROR(__xludf.DUMMYFUNCTION("""COMPUTED_VALUE"""),0.0900537634408602)</f>
        <v>9.0053763440860204E-2</v>
      </c>
      <c r="G226" s="125">
        <f ca="1">IFERROR(__xludf.DUMMYFUNCTION("""COMPUTED_VALUE"""),0.0917888563049853)</f>
        <v>9.1788856304985303E-2</v>
      </c>
      <c r="H226" s="125">
        <f ca="1">IFERROR(__xludf.DUMMYFUNCTION("""COMPUTED_VALUE"""),0.0903225806451613)</f>
        <v>9.0322580645161299E-2</v>
      </c>
      <c r="I226" s="125">
        <f ca="1">IFERROR(__xludf.DUMMYFUNCTION("""COMPUTED_VALUE"""),0.0877419354838709)</f>
        <v>8.7741935483870895E-2</v>
      </c>
      <c r="J226" s="125">
        <f ca="1">IFERROR(__xludf.DUMMYFUNCTION("""COMPUTED_VALUE"""),0.0877419354838709)</f>
        <v>8.7741935483870895E-2</v>
      </c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17"/>
      <c r="W226" s="117"/>
      <c r="X226" s="117"/>
      <c r="Y226" s="117"/>
      <c r="Z226" s="117"/>
      <c r="AA226" s="117"/>
      <c r="AB226" s="117"/>
      <c r="AC226" s="117"/>
      <c r="AD226" s="117"/>
      <c r="AE226" s="117"/>
      <c r="AF226" s="117"/>
      <c r="AG226" s="117"/>
      <c r="AH226" s="117"/>
      <c r="AI226" s="117"/>
      <c r="AJ226" s="117"/>
      <c r="AK226" s="117"/>
      <c r="AL226" s="117"/>
      <c r="AM226" s="117"/>
      <c r="AN226" s="117"/>
      <c r="AO226" s="117"/>
      <c r="AP226" s="117"/>
      <c r="AQ226" s="117"/>
      <c r="AR226" s="117"/>
      <c r="AS226" s="117"/>
      <c r="AT226" s="117"/>
      <c r="AU226" s="117"/>
      <c r="AV226" s="117"/>
      <c r="AW226" s="117"/>
      <c r="AX226" s="117"/>
      <c r="AY226" s="117"/>
      <c r="AZ226" s="117"/>
      <c r="BA226" s="117"/>
      <c r="BB226" s="117"/>
      <c r="BC226" s="117"/>
      <c r="BD226" s="117"/>
      <c r="BE226" s="117"/>
      <c r="BF226" s="117"/>
      <c r="BG226" s="117"/>
      <c r="BH226" s="117"/>
      <c r="BI226" s="117"/>
    </row>
    <row r="227" spans="1:61" ht="13.8" x14ac:dyDescent="0.25">
      <c r="A227" s="117"/>
      <c r="B227" s="117"/>
      <c r="C227" s="117"/>
      <c r="D227" s="223"/>
      <c r="E227" s="123" t="str">
        <f ca="1">IFERROR(__xludf.DUMMYFUNCTION("""COMPUTED_VALUE"""),"03. Station")</f>
        <v>03. Station</v>
      </c>
      <c r="F227" s="125">
        <f ca="1">IFERROR(__xludf.DUMMYFUNCTION("""COMPUTED_VALUE"""),0.075)</f>
        <v>7.4999999999999997E-2</v>
      </c>
      <c r="G227" s="125">
        <f ca="1">IFERROR(__xludf.DUMMYFUNCTION("""COMPUTED_VALUE"""),0.0761363636363636)</f>
        <v>7.6136363636363599E-2</v>
      </c>
      <c r="H227" s="125">
        <f ca="1">IFERROR(__xludf.DUMMYFUNCTION("""COMPUTED_VALUE"""),0.0854166666666666)</f>
        <v>8.5416666666666599E-2</v>
      </c>
      <c r="I227" s="125">
        <f ca="1">IFERROR(__xludf.DUMMYFUNCTION("""COMPUTED_VALUE"""),0.0741666666666666)</f>
        <v>7.4166666666666603E-2</v>
      </c>
      <c r="J227" s="125">
        <f ca="1">IFERROR(__xludf.DUMMYFUNCTION("""COMPUTED_VALUE"""),0.0775)</f>
        <v>7.7499999999999999E-2</v>
      </c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17"/>
      <c r="W227" s="117"/>
      <c r="X227" s="117"/>
      <c r="Y227" s="117"/>
      <c r="Z227" s="117"/>
      <c r="AA227" s="117"/>
      <c r="AB227" s="117"/>
      <c r="AC227" s="117"/>
      <c r="AD227" s="117"/>
      <c r="AE227" s="117"/>
      <c r="AF227" s="117"/>
      <c r="AG227" s="117"/>
      <c r="AH227" s="117"/>
      <c r="AI227" s="117"/>
      <c r="AJ227" s="117"/>
      <c r="AK227" s="117"/>
      <c r="AL227" s="117"/>
      <c r="AM227" s="117"/>
      <c r="AN227" s="117"/>
      <c r="AO227" s="117"/>
      <c r="AP227" s="117"/>
      <c r="AQ227" s="117"/>
      <c r="AR227" s="117"/>
      <c r="AS227" s="117"/>
      <c r="AT227" s="117"/>
      <c r="AU227" s="117"/>
      <c r="AV227" s="117"/>
      <c r="AW227" s="117"/>
      <c r="AX227" s="117"/>
      <c r="AY227" s="117"/>
      <c r="AZ227" s="117"/>
      <c r="BA227" s="117"/>
      <c r="BB227" s="117"/>
      <c r="BC227" s="117"/>
      <c r="BD227" s="117"/>
      <c r="BE227" s="117"/>
      <c r="BF227" s="117"/>
      <c r="BG227" s="117"/>
      <c r="BH227" s="117"/>
      <c r="BI227" s="117"/>
    </row>
    <row r="228" spans="1:61" ht="13.8" x14ac:dyDescent="0.25">
      <c r="A228" s="117"/>
      <c r="B228" s="117"/>
      <c r="C228" s="117"/>
      <c r="D228" s="223"/>
      <c r="E228" s="123" t="str">
        <f ca="1">IFERROR(__xludf.DUMMYFUNCTION("""COMPUTED_VALUE"""),"04. Station")</f>
        <v>04. Station</v>
      </c>
      <c r="F228" s="125">
        <f ca="1">IFERROR(__xludf.DUMMYFUNCTION("""COMPUTED_VALUE"""),0.08375)</f>
        <v>8.3750000000000005E-2</v>
      </c>
      <c r="G228" s="125">
        <f ca="1">IFERROR(__xludf.DUMMYFUNCTION("""COMPUTED_VALUE"""),0.0722727272727272)</f>
        <v>7.2272727272727197E-2</v>
      </c>
      <c r="H228" s="125">
        <f ca="1">IFERROR(__xludf.DUMMYFUNCTION("""COMPUTED_VALUE"""),0.083)</f>
        <v>8.3000000000000004E-2</v>
      </c>
      <c r="I228" s="125">
        <f ca="1">IFERROR(__xludf.DUMMYFUNCTION("""COMPUTED_VALUE"""),0.0844999999999999)</f>
        <v>8.4499999999999895E-2</v>
      </c>
      <c r="J228" s="125">
        <f ca="1">IFERROR(__xludf.DUMMYFUNCTION("""COMPUTED_VALUE"""),0.082)</f>
        <v>8.2000000000000003E-2</v>
      </c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17"/>
      <c r="W228" s="117"/>
      <c r="X228" s="117"/>
      <c r="Y228" s="117"/>
      <c r="Z228" s="117"/>
      <c r="AA228" s="117"/>
      <c r="AB228" s="117"/>
      <c r="AC228" s="117"/>
      <c r="AD228" s="117"/>
      <c r="AE228" s="117"/>
      <c r="AF228" s="117"/>
      <c r="AG228" s="117"/>
      <c r="AH228" s="117"/>
      <c r="AI228" s="117"/>
      <c r="AJ228" s="117"/>
      <c r="AK228" s="117"/>
      <c r="AL228" s="117"/>
      <c r="AM228" s="117"/>
      <c r="AN228" s="117"/>
      <c r="AO228" s="117"/>
      <c r="AP228" s="117"/>
      <c r="AQ228" s="117"/>
      <c r="AR228" s="117"/>
      <c r="AS228" s="117"/>
      <c r="AT228" s="117"/>
      <c r="AU228" s="117"/>
      <c r="AV228" s="117"/>
      <c r="AW228" s="117"/>
      <c r="AX228" s="117"/>
      <c r="AY228" s="117"/>
      <c r="AZ228" s="117"/>
      <c r="BA228" s="117"/>
      <c r="BB228" s="117"/>
      <c r="BC228" s="117"/>
      <c r="BD228" s="117"/>
      <c r="BE228" s="117"/>
      <c r="BF228" s="117"/>
      <c r="BG228" s="117"/>
      <c r="BH228" s="117"/>
      <c r="BI228" s="117"/>
    </row>
    <row r="229" spans="1:61" ht="13.8" x14ac:dyDescent="0.25">
      <c r="A229" s="117"/>
      <c r="B229" s="117"/>
      <c r="C229" s="117"/>
      <c r="D229" s="223"/>
      <c r="E229" s="123" t="str">
        <f ca="1">IFERROR(__xludf.DUMMYFUNCTION("""COMPUTED_VALUE"""),"05. Station")</f>
        <v>05. Station</v>
      </c>
      <c r="F229" s="125">
        <f ca="1">IFERROR(__xludf.DUMMYFUNCTION("""COMPUTED_VALUE"""),0.0825)</f>
        <v>8.2500000000000004E-2</v>
      </c>
      <c r="G229" s="125">
        <f ca="1">IFERROR(__xludf.DUMMYFUNCTION("""COMPUTED_VALUE"""),0.0809090909090909)</f>
        <v>8.0909090909090903E-2</v>
      </c>
      <c r="H229" s="125">
        <f ca="1">IFERROR(__xludf.DUMMYFUNCTION("""COMPUTED_VALUE"""),0.083)</f>
        <v>8.3000000000000004E-2</v>
      </c>
      <c r="I229" s="125">
        <f ca="1">IFERROR(__xludf.DUMMYFUNCTION("""COMPUTED_VALUE"""),0.0755)</f>
        <v>7.5499999999999998E-2</v>
      </c>
      <c r="J229" s="125">
        <f ca="1">IFERROR(__xludf.DUMMYFUNCTION("""COMPUTED_VALUE"""),0.08)</f>
        <v>0.08</v>
      </c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17"/>
      <c r="W229" s="117"/>
      <c r="X229" s="117"/>
      <c r="Y229" s="117"/>
      <c r="Z229" s="117"/>
      <c r="AA229" s="117"/>
      <c r="AB229" s="117"/>
      <c r="AC229" s="117"/>
      <c r="AD229" s="117"/>
      <c r="AE229" s="117"/>
      <c r="AF229" s="117"/>
      <c r="AG229" s="117"/>
      <c r="AH229" s="117"/>
      <c r="AI229" s="117"/>
      <c r="AJ229" s="117"/>
      <c r="AK229" s="117"/>
      <c r="AL229" s="117"/>
      <c r="AM229" s="117"/>
      <c r="AN229" s="117"/>
      <c r="AO229" s="117"/>
      <c r="AP229" s="117"/>
      <c r="AQ229" s="117"/>
      <c r="AR229" s="117"/>
      <c r="AS229" s="117"/>
      <c r="AT229" s="117"/>
      <c r="AU229" s="117"/>
      <c r="AV229" s="117"/>
      <c r="AW229" s="117"/>
      <c r="AX229" s="117"/>
      <c r="AY229" s="117"/>
      <c r="AZ229" s="117"/>
      <c r="BA229" s="117"/>
      <c r="BB229" s="117"/>
      <c r="BC229" s="117"/>
      <c r="BD229" s="117"/>
      <c r="BE229" s="117"/>
      <c r="BF229" s="117"/>
      <c r="BG229" s="117"/>
      <c r="BH229" s="117"/>
      <c r="BI229" s="117"/>
    </row>
    <row r="230" spans="1:61" ht="13.8" x14ac:dyDescent="0.25">
      <c r="A230" s="117"/>
      <c r="B230" s="117"/>
      <c r="C230" s="117"/>
      <c r="D230" s="223"/>
      <c r="E230" s="123" t="str">
        <f ca="1">IFERROR(__xludf.DUMMYFUNCTION("""COMPUTED_VALUE"""),"06. Station")</f>
        <v>06. Station</v>
      </c>
      <c r="F230" s="125">
        <f ca="1">IFERROR(__xludf.DUMMYFUNCTION("""COMPUTED_VALUE"""),0.0722222222222222)</f>
        <v>7.2222222222222202E-2</v>
      </c>
      <c r="G230" s="125">
        <f ca="1">IFERROR(__xludf.DUMMYFUNCTION("""COMPUTED_VALUE"""),0.0590909090909091)</f>
        <v>5.9090909090909097E-2</v>
      </c>
      <c r="H230" s="125">
        <f ca="1">IFERROR(__xludf.DUMMYFUNCTION("""COMPUTED_VALUE"""),0.0675)</f>
        <v>6.7500000000000004E-2</v>
      </c>
      <c r="I230" s="125">
        <f ca="1">IFERROR(__xludf.DUMMYFUNCTION("""COMPUTED_VALUE"""),0.0641666666666666)</f>
        <v>6.4166666666666594E-2</v>
      </c>
      <c r="J230" s="125">
        <f ca="1">IFERROR(__xludf.DUMMYFUNCTION("""COMPUTED_VALUE"""),0.065)</f>
        <v>6.5000000000000002E-2</v>
      </c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17"/>
      <c r="W230" s="117"/>
      <c r="X230" s="117"/>
      <c r="Y230" s="117"/>
      <c r="Z230" s="117"/>
      <c r="AA230" s="117"/>
      <c r="AB230" s="117"/>
      <c r="AC230" s="117"/>
      <c r="AD230" s="117"/>
      <c r="AE230" s="117"/>
      <c r="AF230" s="117"/>
      <c r="AG230" s="117"/>
      <c r="AH230" s="117"/>
      <c r="AI230" s="117"/>
      <c r="AJ230" s="117"/>
      <c r="AK230" s="117"/>
      <c r="AL230" s="117"/>
      <c r="AM230" s="117"/>
      <c r="AN230" s="117"/>
      <c r="AO230" s="117"/>
      <c r="AP230" s="117"/>
      <c r="AQ230" s="117"/>
      <c r="AR230" s="117"/>
      <c r="AS230" s="117"/>
      <c r="AT230" s="117"/>
      <c r="AU230" s="117"/>
      <c r="AV230" s="117"/>
      <c r="AW230" s="117"/>
      <c r="AX230" s="117"/>
      <c r="AY230" s="117"/>
      <c r="AZ230" s="117"/>
      <c r="BA230" s="117"/>
      <c r="BB230" s="117"/>
      <c r="BC230" s="117"/>
      <c r="BD230" s="117"/>
      <c r="BE230" s="117"/>
      <c r="BF230" s="117"/>
      <c r="BG230" s="117"/>
      <c r="BH230" s="117"/>
      <c r="BI230" s="117"/>
    </row>
    <row r="231" spans="1:61" ht="13.8" x14ac:dyDescent="0.25">
      <c r="A231" s="117"/>
      <c r="B231" s="117"/>
      <c r="C231" s="117"/>
      <c r="D231" s="223"/>
      <c r="E231" s="123" t="str">
        <f ca="1">IFERROR(__xludf.DUMMYFUNCTION("""COMPUTED_VALUE"""),"07. Station")</f>
        <v>07. Station</v>
      </c>
      <c r="F231" s="125">
        <f ca="1">IFERROR(__xludf.DUMMYFUNCTION("""COMPUTED_VALUE"""),0.0723333333333333)</f>
        <v>7.2333333333333305E-2</v>
      </c>
      <c r="G231" s="125">
        <f ca="1">IFERROR(__xludf.DUMMYFUNCTION("""COMPUTED_VALUE"""),0.0803636363636363)</f>
        <v>8.0363636363636304E-2</v>
      </c>
      <c r="H231" s="125">
        <f ca="1">IFERROR(__xludf.DUMMYFUNCTION("""COMPUTED_VALUE"""),0.0836)</f>
        <v>8.3599999999999994E-2</v>
      </c>
      <c r="I231" s="125">
        <f ca="1">IFERROR(__xludf.DUMMYFUNCTION("""COMPUTED_VALUE"""),0.072)</f>
        <v>7.1999999999999995E-2</v>
      </c>
      <c r="J231" s="125">
        <f ca="1">IFERROR(__xludf.DUMMYFUNCTION("""COMPUTED_VALUE"""),0.0752)</f>
        <v>7.5200000000000003E-2</v>
      </c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17"/>
      <c r="W231" s="117"/>
      <c r="X231" s="117"/>
      <c r="Y231" s="117"/>
      <c r="Z231" s="117"/>
      <c r="AA231" s="117"/>
      <c r="AB231" s="117"/>
      <c r="AC231" s="117"/>
      <c r="AD231" s="117"/>
      <c r="AE231" s="117"/>
      <c r="AF231" s="117"/>
      <c r="AG231" s="117"/>
      <c r="AH231" s="117"/>
      <c r="AI231" s="117"/>
      <c r="AJ231" s="117"/>
      <c r="AK231" s="117"/>
      <c r="AL231" s="117"/>
      <c r="AM231" s="117"/>
      <c r="AN231" s="117"/>
      <c r="AO231" s="117"/>
      <c r="AP231" s="117"/>
      <c r="AQ231" s="117"/>
      <c r="AR231" s="117"/>
      <c r="AS231" s="117"/>
      <c r="AT231" s="117"/>
      <c r="AU231" s="117"/>
      <c r="AV231" s="117"/>
      <c r="AW231" s="117"/>
      <c r="AX231" s="117"/>
      <c r="AY231" s="117"/>
      <c r="AZ231" s="117"/>
      <c r="BA231" s="117"/>
      <c r="BB231" s="117"/>
      <c r="BC231" s="117"/>
      <c r="BD231" s="117"/>
      <c r="BE231" s="117"/>
      <c r="BF231" s="117"/>
      <c r="BG231" s="117"/>
      <c r="BH231" s="117"/>
      <c r="BI231" s="117"/>
    </row>
    <row r="232" spans="1:61" ht="13.8" x14ac:dyDescent="0.25">
      <c r="A232" s="117"/>
      <c r="B232" s="117"/>
      <c r="C232" s="117"/>
      <c r="D232" s="223"/>
      <c r="E232" s="123" t="str">
        <f ca="1">IFERROR(__xludf.DUMMYFUNCTION("""COMPUTED_VALUE"""),"08. Station")</f>
        <v>08. Station</v>
      </c>
      <c r="F232" s="125">
        <f ca="1">IFERROR(__xludf.DUMMYFUNCTION("""COMPUTED_VALUE"""),0.0592857142857143)</f>
        <v>5.9285714285714303E-2</v>
      </c>
      <c r="G232" s="125">
        <f ca="1">IFERROR(__xludf.DUMMYFUNCTION("""COMPUTED_VALUE"""),0.0597402597402597)</f>
        <v>5.9740259740259698E-2</v>
      </c>
      <c r="H232" s="125">
        <f ca="1">IFERROR(__xludf.DUMMYFUNCTION("""COMPUTED_VALUE"""),0.0651428571428571)</f>
        <v>6.51428571428571E-2</v>
      </c>
      <c r="I232" s="125">
        <f ca="1">IFERROR(__xludf.DUMMYFUNCTION("""COMPUTED_VALUE"""),0.0617142857142857)</f>
        <v>6.1714285714285701E-2</v>
      </c>
      <c r="J232" s="125">
        <f ca="1">IFERROR(__xludf.DUMMYFUNCTION("""COMPUTED_VALUE"""),0.0577142857142857)</f>
        <v>5.7714285714285697E-2</v>
      </c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17"/>
      <c r="W232" s="117"/>
      <c r="X232" s="117"/>
      <c r="Y232" s="117"/>
      <c r="Z232" s="117"/>
      <c r="AA232" s="117"/>
      <c r="AB232" s="117"/>
      <c r="AC232" s="117"/>
      <c r="AD232" s="117"/>
      <c r="AE232" s="117"/>
      <c r="AF232" s="117"/>
      <c r="AG232" s="117"/>
      <c r="AH232" s="117"/>
      <c r="AI232" s="117"/>
      <c r="AJ232" s="117"/>
      <c r="AK232" s="117"/>
      <c r="AL232" s="117"/>
      <c r="AM232" s="117"/>
      <c r="AN232" s="117"/>
      <c r="AO232" s="117"/>
      <c r="AP232" s="117"/>
      <c r="AQ232" s="117"/>
      <c r="AR232" s="117"/>
      <c r="AS232" s="117"/>
      <c r="AT232" s="117"/>
      <c r="AU232" s="117"/>
      <c r="AV232" s="117"/>
      <c r="AW232" s="117"/>
      <c r="AX232" s="117"/>
      <c r="AY232" s="117"/>
      <c r="AZ232" s="117"/>
      <c r="BA232" s="117"/>
      <c r="BB232" s="117"/>
      <c r="BC232" s="117"/>
      <c r="BD232" s="117"/>
      <c r="BE232" s="117"/>
      <c r="BF232" s="117"/>
      <c r="BG232" s="117"/>
      <c r="BH232" s="117"/>
      <c r="BI232" s="117"/>
    </row>
    <row r="233" spans="1:61" ht="13.8" x14ac:dyDescent="0.25">
      <c r="A233" s="117"/>
      <c r="B233" s="117"/>
      <c r="C233" s="117"/>
      <c r="D233" s="223"/>
      <c r="E233" s="123" t="str">
        <f ca="1">IFERROR(__xludf.DUMMYFUNCTION("""COMPUTED_VALUE"""),"09. Station")</f>
        <v>09. Station</v>
      </c>
      <c r="F233" s="125">
        <f ca="1">IFERROR(__xludf.DUMMYFUNCTION("""COMPUTED_VALUE"""),0.08984375)</f>
        <v>8.984375E-2</v>
      </c>
      <c r="G233" s="125">
        <f ca="1">IFERROR(__xludf.DUMMYFUNCTION("""COMPUTED_VALUE"""),0.0875)</f>
        <v>8.7499999999999994E-2</v>
      </c>
      <c r="H233" s="125">
        <f ca="1">IFERROR(__xludf.DUMMYFUNCTION("""COMPUTED_VALUE"""),0.085)</f>
        <v>8.5000000000000006E-2</v>
      </c>
      <c r="I233" s="125">
        <f ca="1">IFERROR(__xludf.DUMMYFUNCTION("""COMPUTED_VALUE"""),0.0859375)</f>
        <v>8.59375E-2</v>
      </c>
      <c r="J233" s="125">
        <f ca="1">IFERROR(__xludf.DUMMYFUNCTION("""COMPUTED_VALUE"""),0.085625)</f>
        <v>8.5625000000000007E-2</v>
      </c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17"/>
      <c r="W233" s="117"/>
      <c r="X233" s="117"/>
      <c r="Y233" s="117"/>
      <c r="Z233" s="117"/>
      <c r="AA233" s="117"/>
      <c r="AB233" s="117"/>
      <c r="AC233" s="117"/>
      <c r="AD233" s="117"/>
      <c r="AE233" s="117"/>
      <c r="AF233" s="117"/>
      <c r="AG233" s="117"/>
      <c r="AH233" s="117"/>
      <c r="AI233" s="117"/>
      <c r="AJ233" s="117"/>
      <c r="AK233" s="117"/>
      <c r="AL233" s="117"/>
      <c r="AM233" s="117"/>
      <c r="AN233" s="117"/>
      <c r="AO233" s="117"/>
      <c r="AP233" s="117"/>
      <c r="AQ233" s="117"/>
      <c r="AR233" s="117"/>
      <c r="AS233" s="117"/>
      <c r="AT233" s="117"/>
      <c r="AU233" s="117"/>
      <c r="AV233" s="117"/>
      <c r="AW233" s="117"/>
      <c r="AX233" s="117"/>
      <c r="AY233" s="117"/>
      <c r="AZ233" s="117"/>
      <c r="BA233" s="117"/>
      <c r="BB233" s="117"/>
      <c r="BC233" s="117"/>
      <c r="BD233" s="117"/>
      <c r="BE233" s="117"/>
      <c r="BF233" s="117"/>
      <c r="BG233" s="117"/>
      <c r="BH233" s="117"/>
      <c r="BI233" s="117"/>
    </row>
    <row r="234" spans="1:61" ht="13.8" x14ac:dyDescent="0.25">
      <c r="A234" s="117"/>
      <c r="B234" s="117"/>
      <c r="C234" s="117"/>
      <c r="D234" s="223"/>
      <c r="E234" s="123" t="str">
        <f ca="1">IFERROR(__xludf.DUMMYFUNCTION("""COMPUTED_VALUE"""),"10. Station")</f>
        <v>10. Station</v>
      </c>
      <c r="F234" s="125">
        <f ca="1">IFERROR(__xludf.DUMMYFUNCTION("""COMPUTED_VALUE"""),0.0519230769230769)</f>
        <v>5.1923076923076898E-2</v>
      </c>
      <c r="G234" s="125">
        <f ca="1">IFERROR(__xludf.DUMMYFUNCTION("""COMPUTED_VALUE"""),0.0461538461538461)</f>
        <v>4.6153846153846101E-2</v>
      </c>
      <c r="H234" s="125">
        <f ca="1">IFERROR(__xludf.DUMMYFUNCTION("""COMPUTED_VALUE"""),0.04)</f>
        <v>0.04</v>
      </c>
      <c r="I234" s="125">
        <f ca="1">IFERROR(__xludf.DUMMYFUNCTION("""COMPUTED_VALUE"""),0.0269230769230769)</f>
        <v>2.69230769230769E-2</v>
      </c>
      <c r="J234" s="125">
        <f ca="1">IFERROR(__xludf.DUMMYFUNCTION("""COMPUTED_VALUE"""),0.0384615384615384)</f>
        <v>3.8461538461538401E-2</v>
      </c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17"/>
      <c r="W234" s="117"/>
      <c r="X234" s="117"/>
      <c r="Y234" s="117"/>
      <c r="Z234" s="117"/>
      <c r="AA234" s="117"/>
      <c r="AB234" s="117"/>
      <c r="AC234" s="117"/>
      <c r="AD234" s="117"/>
      <c r="AE234" s="117"/>
      <c r="AF234" s="117"/>
      <c r="AG234" s="117"/>
      <c r="AH234" s="117"/>
      <c r="AI234" s="117"/>
      <c r="AJ234" s="117"/>
      <c r="AK234" s="117"/>
      <c r="AL234" s="117"/>
      <c r="AM234" s="117"/>
      <c r="AN234" s="117"/>
      <c r="AO234" s="117"/>
      <c r="AP234" s="117"/>
      <c r="AQ234" s="117"/>
      <c r="AR234" s="117"/>
      <c r="AS234" s="117"/>
      <c r="AT234" s="117"/>
      <c r="AU234" s="117"/>
      <c r="AV234" s="117"/>
      <c r="AW234" s="117"/>
      <c r="AX234" s="117"/>
      <c r="AY234" s="117"/>
      <c r="AZ234" s="117"/>
      <c r="BA234" s="117"/>
      <c r="BB234" s="117"/>
      <c r="BC234" s="117"/>
      <c r="BD234" s="117"/>
      <c r="BE234" s="117"/>
      <c r="BF234" s="117"/>
      <c r="BG234" s="117"/>
      <c r="BH234" s="117"/>
      <c r="BI234" s="117"/>
    </row>
    <row r="235" spans="1:61" ht="13.8" x14ac:dyDescent="0.25">
      <c r="A235" s="117"/>
      <c r="B235" s="117"/>
      <c r="C235" s="117"/>
      <c r="D235" s="223"/>
      <c r="E235" s="123" t="str">
        <f ca="1">IFERROR(__xludf.DUMMYFUNCTION("""COMPUTED_VALUE"""),"11. Station")</f>
        <v>11. Station</v>
      </c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17"/>
      <c r="W235" s="117"/>
      <c r="X235" s="117"/>
      <c r="Y235" s="117"/>
      <c r="Z235" s="117"/>
      <c r="AA235" s="117"/>
      <c r="AB235" s="117"/>
      <c r="AC235" s="117"/>
      <c r="AD235" s="117"/>
      <c r="AE235" s="117"/>
      <c r="AF235" s="117"/>
      <c r="AG235" s="117"/>
      <c r="AH235" s="117"/>
      <c r="AI235" s="117"/>
      <c r="AJ235" s="117"/>
      <c r="AK235" s="117"/>
      <c r="AL235" s="117"/>
      <c r="AM235" s="117"/>
      <c r="AN235" s="117"/>
      <c r="AO235" s="117"/>
      <c r="AP235" s="117"/>
      <c r="AQ235" s="117"/>
      <c r="AR235" s="117"/>
      <c r="AS235" s="117"/>
      <c r="AT235" s="117"/>
      <c r="AU235" s="117"/>
      <c r="AV235" s="117"/>
      <c r="AW235" s="117"/>
      <c r="AX235" s="117"/>
      <c r="AY235" s="117"/>
      <c r="AZ235" s="117"/>
      <c r="BA235" s="117"/>
      <c r="BB235" s="117"/>
      <c r="BC235" s="117"/>
      <c r="BD235" s="117"/>
      <c r="BE235" s="117"/>
      <c r="BF235" s="117"/>
      <c r="BG235" s="117"/>
      <c r="BH235" s="117"/>
      <c r="BI235" s="117"/>
    </row>
    <row r="236" spans="1:61" ht="13.8" x14ac:dyDescent="0.25">
      <c r="A236" s="117"/>
      <c r="B236" s="117"/>
      <c r="C236" s="117"/>
      <c r="D236" s="223"/>
      <c r="E236" s="123" t="str">
        <f ca="1">IFERROR(__xludf.DUMMYFUNCTION("""COMPUTED_VALUE"""),"12. Station")</f>
        <v>12. Station</v>
      </c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17"/>
      <c r="W236" s="117"/>
      <c r="X236" s="117"/>
      <c r="Y236" s="117"/>
      <c r="Z236" s="117"/>
      <c r="AA236" s="117"/>
      <c r="AB236" s="117"/>
      <c r="AC236" s="117"/>
      <c r="AD236" s="117"/>
      <c r="AE236" s="117"/>
      <c r="AF236" s="117"/>
      <c r="AG236" s="117"/>
      <c r="AH236" s="117"/>
      <c r="AI236" s="117"/>
      <c r="AJ236" s="117"/>
      <c r="AK236" s="117"/>
      <c r="AL236" s="117"/>
      <c r="AM236" s="117"/>
      <c r="AN236" s="117"/>
      <c r="AO236" s="117"/>
      <c r="AP236" s="117"/>
      <c r="AQ236" s="117"/>
      <c r="AR236" s="117"/>
      <c r="AS236" s="117"/>
      <c r="AT236" s="117"/>
      <c r="AU236" s="117"/>
      <c r="AV236" s="117"/>
      <c r="AW236" s="117"/>
      <c r="AX236" s="117"/>
      <c r="AY236" s="117"/>
      <c r="AZ236" s="117"/>
      <c r="BA236" s="117"/>
      <c r="BB236" s="117"/>
      <c r="BC236" s="117"/>
      <c r="BD236" s="117"/>
      <c r="BE236" s="117"/>
      <c r="BF236" s="117"/>
      <c r="BG236" s="117"/>
      <c r="BH236" s="117"/>
      <c r="BI236" s="117"/>
    </row>
    <row r="237" spans="1:61" ht="13.8" x14ac:dyDescent="0.25">
      <c r="A237" s="117"/>
      <c r="B237" s="117"/>
      <c r="C237" s="117"/>
      <c r="D237" s="223"/>
      <c r="E237" s="123" t="str">
        <f ca="1">IFERROR(__xludf.DUMMYFUNCTION("""COMPUTED_VALUE"""),"13. Station")</f>
        <v>13. Station</v>
      </c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17"/>
      <c r="W237" s="117"/>
      <c r="X237" s="117"/>
      <c r="Y237" s="117"/>
      <c r="Z237" s="117"/>
      <c r="AA237" s="117"/>
      <c r="AB237" s="117"/>
      <c r="AC237" s="117"/>
      <c r="AD237" s="117"/>
      <c r="AE237" s="117"/>
      <c r="AF237" s="117"/>
      <c r="AG237" s="117"/>
      <c r="AH237" s="117"/>
      <c r="AI237" s="117"/>
      <c r="AJ237" s="117"/>
      <c r="AK237" s="117"/>
      <c r="AL237" s="117"/>
      <c r="AM237" s="117"/>
      <c r="AN237" s="117"/>
      <c r="AO237" s="117"/>
      <c r="AP237" s="117"/>
      <c r="AQ237" s="117"/>
      <c r="AR237" s="117"/>
      <c r="AS237" s="117"/>
      <c r="AT237" s="117"/>
      <c r="AU237" s="117"/>
      <c r="AV237" s="117"/>
      <c r="AW237" s="117"/>
      <c r="AX237" s="117"/>
      <c r="AY237" s="117"/>
      <c r="AZ237" s="117"/>
      <c r="BA237" s="117"/>
      <c r="BB237" s="117"/>
      <c r="BC237" s="117"/>
      <c r="BD237" s="117"/>
      <c r="BE237" s="117"/>
      <c r="BF237" s="117"/>
      <c r="BG237" s="117"/>
      <c r="BH237" s="117"/>
      <c r="BI237" s="117"/>
    </row>
    <row r="238" spans="1:61" ht="13.8" x14ac:dyDescent="0.25">
      <c r="A238" s="117"/>
      <c r="B238" s="117"/>
      <c r="C238" s="117"/>
      <c r="D238" s="223"/>
      <c r="E238" s="123" t="str">
        <f ca="1">IFERROR(__xludf.DUMMYFUNCTION("""COMPUTED_VALUE"""),"14. Station")</f>
        <v>14. Station</v>
      </c>
      <c r="F238" s="125"/>
      <c r="G238" s="125"/>
      <c r="H238" s="125"/>
      <c r="I238" s="125"/>
      <c r="J238" s="125"/>
      <c r="K238" s="125"/>
      <c r="L238" s="125"/>
      <c r="M238" s="125"/>
      <c r="N238" s="125"/>
      <c r="O238" s="125"/>
      <c r="P238" s="125"/>
      <c r="Q238" s="125"/>
      <c r="R238" s="125"/>
      <c r="S238" s="125"/>
      <c r="T238" s="125"/>
      <c r="U238" s="125"/>
      <c r="V238" s="117"/>
      <c r="W238" s="117"/>
      <c r="X238" s="117"/>
      <c r="Y238" s="117"/>
      <c r="Z238" s="117"/>
      <c r="AA238" s="117"/>
      <c r="AB238" s="117"/>
      <c r="AC238" s="117"/>
      <c r="AD238" s="117"/>
      <c r="AE238" s="117"/>
      <c r="AF238" s="117"/>
      <c r="AG238" s="117"/>
      <c r="AH238" s="117"/>
      <c r="AI238" s="117"/>
      <c r="AJ238" s="117"/>
      <c r="AK238" s="117"/>
      <c r="AL238" s="117"/>
      <c r="AM238" s="117"/>
      <c r="AN238" s="117"/>
      <c r="AO238" s="117"/>
      <c r="AP238" s="117"/>
      <c r="AQ238" s="117"/>
      <c r="AR238" s="117"/>
      <c r="AS238" s="117"/>
      <c r="AT238" s="117"/>
      <c r="AU238" s="117"/>
      <c r="AV238" s="117"/>
      <c r="AW238" s="117"/>
      <c r="AX238" s="117"/>
      <c r="AY238" s="117"/>
      <c r="AZ238" s="117"/>
      <c r="BA238" s="117"/>
      <c r="BB238" s="117"/>
      <c r="BC238" s="117"/>
      <c r="BD238" s="117"/>
      <c r="BE238" s="117"/>
      <c r="BF238" s="117"/>
      <c r="BG238" s="117"/>
      <c r="BH238" s="117"/>
      <c r="BI238" s="117"/>
    </row>
    <row r="239" spans="1:61" ht="13.8" x14ac:dyDescent="0.25">
      <c r="A239" s="117"/>
      <c r="B239" s="117"/>
      <c r="C239" s="117"/>
      <c r="D239" s="223"/>
      <c r="E239" s="123" t="str">
        <f ca="1">IFERROR(__xludf.DUMMYFUNCTION("""COMPUTED_VALUE"""),"15. Station")</f>
        <v>15. Station</v>
      </c>
      <c r="F239" s="125"/>
      <c r="G239" s="125"/>
      <c r="H239" s="125"/>
      <c r="I239" s="125"/>
      <c r="J239" s="125"/>
      <c r="K239" s="125"/>
      <c r="L239" s="125"/>
      <c r="M239" s="125"/>
      <c r="N239" s="125"/>
      <c r="O239" s="125"/>
      <c r="P239" s="125"/>
      <c r="Q239" s="125"/>
      <c r="R239" s="125"/>
      <c r="S239" s="125"/>
      <c r="T239" s="125"/>
      <c r="U239" s="125"/>
      <c r="V239" s="117"/>
      <c r="W239" s="117"/>
      <c r="X239" s="117"/>
      <c r="Y239" s="117"/>
      <c r="Z239" s="117"/>
      <c r="AA239" s="117"/>
      <c r="AB239" s="117"/>
      <c r="AC239" s="117"/>
      <c r="AD239" s="117"/>
      <c r="AE239" s="117"/>
      <c r="AF239" s="117"/>
      <c r="AG239" s="117"/>
      <c r="AH239" s="117"/>
      <c r="AI239" s="117"/>
      <c r="AJ239" s="117"/>
      <c r="AK239" s="117"/>
      <c r="AL239" s="117"/>
      <c r="AM239" s="117"/>
      <c r="AN239" s="117"/>
      <c r="AO239" s="117"/>
      <c r="AP239" s="117"/>
      <c r="AQ239" s="117"/>
      <c r="AR239" s="117"/>
      <c r="AS239" s="117"/>
      <c r="AT239" s="117"/>
      <c r="AU239" s="117"/>
      <c r="AV239" s="117"/>
      <c r="AW239" s="117"/>
      <c r="AX239" s="117"/>
      <c r="AY239" s="117"/>
      <c r="AZ239" s="117"/>
      <c r="BA239" s="117"/>
      <c r="BB239" s="117"/>
      <c r="BC239" s="117"/>
      <c r="BD239" s="117"/>
      <c r="BE239" s="117"/>
      <c r="BF239" s="117"/>
      <c r="BG239" s="117"/>
      <c r="BH239" s="117"/>
      <c r="BI239" s="117"/>
    </row>
    <row r="240" spans="1:61" ht="13.8" x14ac:dyDescent="0.25">
      <c r="A240" s="117"/>
      <c r="B240" s="117"/>
      <c r="C240" s="117"/>
      <c r="D240" s="224"/>
      <c r="E240" s="123" t="str">
        <f ca="1">IFERROR(__xludf.DUMMYFUNCTION("""COMPUTED_VALUE"""),"16. Station")</f>
        <v>16. Station</v>
      </c>
      <c r="F240" s="125"/>
      <c r="G240" s="125"/>
      <c r="H240" s="125"/>
      <c r="I240" s="125"/>
      <c r="J240" s="125"/>
      <c r="K240" s="125"/>
      <c r="L240" s="125"/>
      <c r="M240" s="125"/>
      <c r="N240" s="125"/>
      <c r="O240" s="125"/>
      <c r="P240" s="125"/>
      <c r="Q240" s="125"/>
      <c r="R240" s="125"/>
      <c r="S240" s="125"/>
      <c r="T240" s="125"/>
      <c r="U240" s="125"/>
      <c r="V240" s="117"/>
      <c r="W240" s="117"/>
      <c r="X240" s="117"/>
      <c r="Y240" s="117"/>
      <c r="Z240" s="117"/>
      <c r="AA240" s="117"/>
      <c r="AB240" s="117"/>
      <c r="AC240" s="117"/>
      <c r="AD240" s="117"/>
      <c r="AE240" s="117"/>
      <c r="AF240" s="117"/>
      <c r="AG240" s="117"/>
      <c r="AH240" s="117"/>
      <c r="AI240" s="117"/>
      <c r="AJ240" s="117"/>
      <c r="AK240" s="117"/>
      <c r="AL240" s="117"/>
      <c r="AM240" s="117"/>
      <c r="AN240" s="117"/>
      <c r="AO240" s="117"/>
      <c r="AP240" s="117"/>
      <c r="AQ240" s="117"/>
      <c r="AR240" s="117"/>
      <c r="AS240" s="117"/>
      <c r="AT240" s="117"/>
      <c r="AU240" s="117"/>
      <c r="AV240" s="117"/>
      <c r="AW240" s="117"/>
      <c r="AX240" s="117"/>
      <c r="AY240" s="117"/>
      <c r="AZ240" s="117"/>
      <c r="BA240" s="117"/>
      <c r="BB240" s="117"/>
      <c r="BC240" s="117"/>
      <c r="BD240" s="117"/>
      <c r="BE240" s="117"/>
      <c r="BF240" s="117"/>
      <c r="BG240" s="117"/>
      <c r="BH240" s="117"/>
      <c r="BI240" s="117"/>
    </row>
    <row r="241" spans="1:61" ht="13.8" x14ac:dyDescent="0.25">
      <c r="A241" s="117"/>
      <c r="B241" s="117"/>
      <c r="C241" s="117"/>
      <c r="D241" s="117"/>
      <c r="E241" s="117"/>
      <c r="F241" s="117"/>
      <c r="G241" s="117"/>
      <c r="H241" s="117"/>
      <c r="I241" s="117"/>
      <c r="J241" s="118"/>
      <c r="K241" s="119"/>
      <c r="L241" s="117"/>
      <c r="M241" s="119"/>
      <c r="N241" s="119"/>
      <c r="O241" s="117"/>
      <c r="P241" s="117"/>
      <c r="Q241" s="117"/>
      <c r="R241" s="117"/>
      <c r="S241" s="117"/>
      <c r="T241" s="117"/>
      <c r="U241" s="117"/>
      <c r="V241" s="117"/>
      <c r="W241" s="117"/>
      <c r="X241" s="117"/>
      <c r="Y241" s="117"/>
      <c r="Z241" s="117"/>
      <c r="AA241" s="117"/>
      <c r="AB241" s="117"/>
      <c r="AC241" s="117"/>
      <c r="AD241" s="117"/>
      <c r="AE241" s="117"/>
      <c r="AF241" s="117"/>
      <c r="AG241" s="117"/>
      <c r="AH241" s="117"/>
      <c r="AI241" s="117"/>
      <c r="AJ241" s="117"/>
      <c r="AK241" s="117"/>
      <c r="AL241" s="117"/>
      <c r="AM241" s="117"/>
      <c r="AN241" s="117"/>
      <c r="AO241" s="117"/>
      <c r="AP241" s="117"/>
      <c r="AQ241" s="117"/>
      <c r="AR241" s="117"/>
      <c r="AS241" s="117"/>
      <c r="AT241" s="117"/>
      <c r="AU241" s="117"/>
      <c r="AV241" s="117"/>
      <c r="AW241" s="117"/>
      <c r="AX241" s="117"/>
      <c r="AY241" s="117"/>
      <c r="AZ241" s="117"/>
      <c r="BA241" s="117"/>
      <c r="BB241" s="117"/>
      <c r="BC241" s="117"/>
      <c r="BD241" s="117"/>
      <c r="BE241" s="117"/>
      <c r="BF241" s="117"/>
      <c r="BG241" s="117"/>
      <c r="BH241" s="117"/>
      <c r="BI241" s="117"/>
    </row>
    <row r="242" spans="1:61" ht="13.8" x14ac:dyDescent="0.25">
      <c r="A242" s="117"/>
      <c r="B242" s="117"/>
      <c r="C242" s="117"/>
      <c r="D242" s="117"/>
      <c r="E242" s="117"/>
      <c r="F242" s="117"/>
      <c r="G242" s="117"/>
      <c r="H242" s="117"/>
      <c r="I242" s="117"/>
      <c r="J242" s="118"/>
      <c r="K242" s="119"/>
      <c r="L242" s="117"/>
      <c r="M242" s="119"/>
      <c r="N242" s="119"/>
      <c r="O242" s="117"/>
      <c r="P242" s="117"/>
      <c r="Q242" s="117"/>
      <c r="R242" s="117"/>
      <c r="S242" s="117"/>
      <c r="T242" s="117"/>
      <c r="U242" s="117"/>
      <c r="V242" s="117"/>
      <c r="W242" s="117"/>
      <c r="X242" s="117"/>
      <c r="Y242" s="117"/>
      <c r="Z242" s="117"/>
      <c r="AA242" s="117"/>
      <c r="AB242" s="117"/>
      <c r="AC242" s="117"/>
      <c r="AD242" s="117"/>
      <c r="AE242" s="117"/>
      <c r="AF242" s="117"/>
      <c r="AG242" s="117"/>
      <c r="AH242" s="117"/>
      <c r="AI242" s="117"/>
      <c r="AJ242" s="117"/>
      <c r="AK242" s="117"/>
      <c r="AL242" s="117"/>
      <c r="AM242" s="117"/>
      <c r="AN242" s="117"/>
      <c r="AO242" s="117"/>
      <c r="AP242" s="117"/>
      <c r="AQ242" s="117"/>
      <c r="AR242" s="117"/>
      <c r="AS242" s="117"/>
      <c r="AT242" s="117"/>
      <c r="AU242" s="117"/>
      <c r="AV242" s="117"/>
      <c r="AW242" s="117"/>
      <c r="AX242" s="117"/>
      <c r="AY242" s="117"/>
      <c r="AZ242" s="117"/>
      <c r="BA242" s="117"/>
      <c r="BB242" s="117"/>
      <c r="BC242" s="117"/>
      <c r="BD242" s="117"/>
      <c r="BE242" s="117"/>
      <c r="BF242" s="117"/>
      <c r="BG242" s="117"/>
      <c r="BH242" s="117"/>
      <c r="BI242" s="117"/>
    </row>
    <row r="243" spans="1:61" ht="13.8" x14ac:dyDescent="0.25">
      <c r="A243" s="117"/>
      <c r="B243" s="117"/>
      <c r="C243" s="117"/>
      <c r="D243" s="117"/>
      <c r="E243" s="117"/>
      <c r="F243" s="117"/>
      <c r="G243" s="117"/>
      <c r="H243" s="117"/>
      <c r="I243" s="117"/>
      <c r="J243" s="118"/>
      <c r="K243" s="119"/>
      <c r="L243" s="117"/>
      <c r="M243" s="119"/>
      <c r="N243" s="119"/>
      <c r="O243" s="117"/>
      <c r="P243" s="117"/>
      <c r="Q243" s="117"/>
      <c r="R243" s="117"/>
      <c r="S243" s="117"/>
      <c r="T243" s="117"/>
      <c r="U243" s="117"/>
      <c r="V243" s="117"/>
      <c r="W243" s="117"/>
      <c r="X243" s="117"/>
      <c r="Y243" s="117"/>
      <c r="Z243" s="117"/>
      <c r="AA243" s="117"/>
      <c r="AB243" s="117"/>
      <c r="AC243" s="117"/>
      <c r="AD243" s="117"/>
      <c r="AE243" s="117"/>
      <c r="AF243" s="117"/>
      <c r="AG243" s="117"/>
      <c r="AH243" s="117"/>
      <c r="AI243" s="117"/>
      <c r="AJ243" s="117"/>
      <c r="AK243" s="117"/>
      <c r="AL243" s="117"/>
      <c r="AM243" s="117"/>
      <c r="AN243" s="117"/>
      <c r="AO243" s="117"/>
      <c r="AP243" s="117"/>
      <c r="AQ243" s="117"/>
      <c r="AR243" s="117"/>
      <c r="AS243" s="117"/>
      <c r="AT243" s="117"/>
      <c r="AU243" s="117"/>
      <c r="AV243" s="117"/>
      <c r="AW243" s="117"/>
      <c r="AX243" s="117"/>
      <c r="AY243" s="117"/>
      <c r="AZ243" s="117"/>
      <c r="BA243" s="117"/>
      <c r="BB243" s="117"/>
      <c r="BC243" s="117"/>
      <c r="BD243" s="117"/>
      <c r="BE243" s="117"/>
      <c r="BF243" s="117"/>
      <c r="BG243" s="117"/>
      <c r="BH243" s="117"/>
      <c r="BI243" s="117"/>
    </row>
    <row r="244" spans="1:61" ht="13.8" x14ac:dyDescent="0.25">
      <c r="A244" s="117"/>
      <c r="B244" s="117"/>
      <c r="C244" s="117"/>
      <c r="D244" s="117"/>
      <c r="E244" s="117"/>
      <c r="F244" s="117"/>
      <c r="G244" s="117"/>
      <c r="H244" s="117"/>
      <c r="I244" s="117"/>
      <c r="J244" s="118"/>
      <c r="K244" s="119"/>
      <c r="L244" s="117"/>
      <c r="M244" s="119"/>
      <c r="N244" s="119"/>
      <c r="O244" s="117"/>
      <c r="P244" s="117"/>
      <c r="Q244" s="117"/>
      <c r="R244" s="117"/>
      <c r="S244" s="117"/>
      <c r="T244" s="117"/>
      <c r="U244" s="117"/>
      <c r="V244" s="117"/>
      <c r="W244" s="117"/>
      <c r="X244" s="117"/>
      <c r="Y244" s="117"/>
      <c r="Z244" s="117"/>
      <c r="AA244" s="117"/>
      <c r="AB244" s="117"/>
      <c r="AC244" s="117"/>
      <c r="AD244" s="117"/>
      <c r="AE244" s="117"/>
      <c r="AF244" s="117"/>
      <c r="AG244" s="117"/>
      <c r="AH244" s="117"/>
      <c r="AI244" s="117"/>
      <c r="AJ244" s="117"/>
      <c r="AK244" s="117"/>
      <c r="AL244" s="117"/>
      <c r="AM244" s="117"/>
      <c r="AN244" s="117"/>
      <c r="AO244" s="117"/>
      <c r="AP244" s="117"/>
      <c r="AQ244" s="117"/>
      <c r="AR244" s="117"/>
      <c r="AS244" s="117"/>
      <c r="AT244" s="117"/>
      <c r="AU244" s="117"/>
      <c r="AV244" s="117"/>
      <c r="AW244" s="117"/>
      <c r="AX244" s="117"/>
      <c r="AY244" s="117"/>
      <c r="AZ244" s="117"/>
      <c r="BA244" s="117"/>
      <c r="BB244" s="117"/>
      <c r="BC244" s="117"/>
      <c r="BD244" s="117"/>
      <c r="BE244" s="117"/>
      <c r="BF244" s="117"/>
      <c r="BG244" s="117"/>
      <c r="BH244" s="117"/>
      <c r="BI244" s="117"/>
    </row>
    <row r="245" spans="1:61" ht="13.8" x14ac:dyDescent="0.25">
      <c r="A245" s="117"/>
      <c r="B245" s="117"/>
      <c r="C245" s="117"/>
      <c r="D245" s="117"/>
      <c r="E245" s="117"/>
      <c r="F245" s="117"/>
      <c r="G245" s="117"/>
      <c r="H245" s="117"/>
      <c r="I245" s="117"/>
      <c r="J245" s="118"/>
      <c r="K245" s="119"/>
      <c r="L245" s="117"/>
      <c r="M245" s="119"/>
      <c r="N245" s="119"/>
      <c r="O245" s="117"/>
      <c r="P245" s="117"/>
      <c r="Q245" s="117"/>
      <c r="R245" s="117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  <c r="AV245" s="117"/>
      <c r="AW245" s="117"/>
      <c r="AX245" s="117"/>
      <c r="AY245" s="117"/>
      <c r="AZ245" s="117"/>
      <c r="BA245" s="117"/>
      <c r="BB245" s="117"/>
      <c r="BC245" s="117"/>
      <c r="BD245" s="117"/>
      <c r="BE245" s="117"/>
      <c r="BF245" s="117"/>
      <c r="BG245" s="117"/>
      <c r="BH245" s="117"/>
      <c r="BI245" s="117"/>
    </row>
    <row r="246" spans="1:61" ht="13.8" x14ac:dyDescent="0.25">
      <c r="A246" s="117"/>
      <c r="B246" s="117"/>
      <c r="C246" s="117"/>
      <c r="D246" s="117"/>
      <c r="E246" s="117"/>
      <c r="F246" s="117"/>
      <c r="G246" s="117"/>
      <c r="H246" s="117"/>
      <c r="I246" s="117"/>
      <c r="J246" s="118"/>
      <c r="K246" s="119"/>
      <c r="L246" s="117"/>
      <c r="M246" s="119"/>
      <c r="N246" s="119"/>
      <c r="O246" s="117"/>
      <c r="P246" s="117"/>
      <c r="Q246" s="117"/>
      <c r="R246" s="117"/>
      <c r="S246" s="117"/>
      <c r="T246" s="117"/>
      <c r="U246" s="117"/>
      <c r="V246" s="117"/>
      <c r="W246" s="117"/>
      <c r="X246" s="117"/>
      <c r="Y246" s="117"/>
      <c r="Z246" s="117"/>
      <c r="AA246" s="117"/>
      <c r="AB246" s="117"/>
      <c r="AC246" s="117"/>
      <c r="AD246" s="117"/>
      <c r="AE246" s="117"/>
      <c r="AF246" s="117"/>
      <c r="AG246" s="117"/>
      <c r="AH246" s="117"/>
      <c r="AI246" s="117"/>
      <c r="AJ246" s="117"/>
      <c r="AK246" s="117"/>
      <c r="AL246" s="117"/>
      <c r="AM246" s="117"/>
      <c r="AN246" s="117"/>
      <c r="AO246" s="117"/>
      <c r="AP246" s="117"/>
      <c r="AQ246" s="117"/>
      <c r="AR246" s="117"/>
      <c r="AS246" s="117"/>
      <c r="AT246" s="117"/>
      <c r="AU246" s="117"/>
      <c r="AV246" s="117"/>
      <c r="AW246" s="117"/>
      <c r="AX246" s="117"/>
      <c r="AY246" s="117"/>
      <c r="AZ246" s="117"/>
      <c r="BA246" s="117"/>
      <c r="BB246" s="117"/>
      <c r="BC246" s="117"/>
      <c r="BD246" s="117"/>
      <c r="BE246" s="117"/>
      <c r="BF246" s="117"/>
      <c r="BG246" s="117"/>
      <c r="BH246" s="117"/>
      <c r="BI246" s="117"/>
    </row>
  </sheetData>
  <mergeCells count="101">
    <mergeCell ref="B3:B5"/>
    <mergeCell ref="D3:D5"/>
    <mergeCell ref="E3:E5"/>
    <mergeCell ref="F3:F5"/>
    <mergeCell ref="G3:G5"/>
    <mergeCell ref="H3:H5"/>
    <mergeCell ref="J6:J208"/>
    <mergeCell ref="B216:C216"/>
    <mergeCell ref="B217:C217"/>
    <mergeCell ref="I3:I5"/>
    <mergeCell ref="B218:C218"/>
    <mergeCell ref="B219:C219"/>
    <mergeCell ref="B220:C220"/>
    <mergeCell ref="B221:C221"/>
    <mergeCell ref="D223:D240"/>
    <mergeCell ref="C3:C5"/>
    <mergeCell ref="B210:C210"/>
    <mergeCell ref="B211:C211"/>
    <mergeCell ref="B212:C212"/>
    <mergeCell ref="B213:C213"/>
    <mergeCell ref="B214:C214"/>
    <mergeCell ref="B215:C215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  <mergeCell ref="D217:J217"/>
    <mergeCell ref="D210:J210"/>
    <mergeCell ref="L210:L221"/>
    <mergeCell ref="O210:O221"/>
    <mergeCell ref="U210:U221"/>
    <mergeCell ref="AA210:AA221"/>
    <mergeCell ref="N216:N221"/>
    <mergeCell ref="T216:T221"/>
    <mergeCell ref="Z216:Z221"/>
    <mergeCell ref="AZ2:BB2"/>
    <mergeCell ref="BC2:BE2"/>
    <mergeCell ref="AD210:AD221"/>
    <mergeCell ref="AG210:AG221"/>
    <mergeCell ref="AM210:AM221"/>
    <mergeCell ref="AS210:AS221"/>
    <mergeCell ref="AF216:AF221"/>
    <mergeCell ref="AL216:AL221"/>
    <mergeCell ref="AR216:AR221"/>
    <mergeCell ref="R210:R221"/>
    <mergeCell ref="Q216:Q221"/>
    <mergeCell ref="X210:X221"/>
    <mergeCell ref="W216:W221"/>
    <mergeCell ref="AY210:AY221"/>
    <mergeCell ref="BB210:BB221"/>
    <mergeCell ref="AX216:AX221"/>
    <mergeCell ref="BA216:BA221"/>
    <mergeCell ref="BF2:BH2"/>
    <mergeCell ref="AE2:AG2"/>
    <mergeCell ref="AH2:AJ2"/>
    <mergeCell ref="AK2:AM2"/>
    <mergeCell ref="AN2:AP2"/>
    <mergeCell ref="AQ2:AS2"/>
    <mergeCell ref="AT2:AV2"/>
    <mergeCell ref="AW2:AY2"/>
    <mergeCell ref="K2:L2"/>
    <mergeCell ref="M2:O2"/>
    <mergeCell ref="P2:R2"/>
    <mergeCell ref="S2:U2"/>
    <mergeCell ref="V2:X2"/>
    <mergeCell ref="Y2:AA2"/>
    <mergeCell ref="AB2:AD2"/>
    <mergeCell ref="K3:K5"/>
    <mergeCell ref="N3:N5"/>
    <mergeCell ref="Q3:Q5"/>
    <mergeCell ref="T3:T5"/>
    <mergeCell ref="W3:W5"/>
    <mergeCell ref="Z3:Z5"/>
    <mergeCell ref="AX3:AX5"/>
    <mergeCell ref="BA3:BA5"/>
    <mergeCell ref="BD3:BD5"/>
    <mergeCell ref="BH210:BH221"/>
    <mergeCell ref="AC216:AC221"/>
    <mergeCell ref="BD216:BD221"/>
    <mergeCell ref="BG216:BG221"/>
    <mergeCell ref="BG3:BG5"/>
    <mergeCell ref="AC3:AC5"/>
    <mergeCell ref="AF3:AF5"/>
    <mergeCell ref="AI3:AI5"/>
    <mergeCell ref="AL3:AL5"/>
    <mergeCell ref="AO3:AO5"/>
    <mergeCell ref="AR3:AR5"/>
    <mergeCell ref="AU3:AU5"/>
    <mergeCell ref="BE210:BE221"/>
    <mergeCell ref="AJ210:AJ221"/>
    <mergeCell ref="AI216:AI221"/>
    <mergeCell ref="AP210:AP221"/>
    <mergeCell ref="AO216:AO221"/>
    <mergeCell ref="AV210:AV221"/>
    <mergeCell ref="AU216:AU221"/>
  </mergeCells>
  <conditionalFormatting sqref="M6:U223 V6:BH246 M241:U246">
    <cfRule type="containsBlanks" dxfId="0" priority="1">
      <formula>LEN(TRIM(M6))=0</formula>
    </cfRule>
  </conditionalFormatting>
  <dataValidations count="2">
    <dataValidation type="list" allowBlank="1" sqref="D6:D208" xr:uid="{00000000-0002-0000-0400-000000000000}">
      <formula1>"Male,Female"</formula1>
    </dataValidation>
    <dataValidation type="list" allowBlank="1" showErrorMessage="1" sqref="G2" xr:uid="{00000000-0002-0000-0400-000001000000}">
      <formula1>"By Percentage,By Station"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1C373"/>
    <outlinePr summaryBelow="0" summaryRight="0"/>
  </sheetPr>
  <dimension ref="A1:J157"/>
  <sheetViews>
    <sheetView showGridLines="0" workbookViewId="0">
      <pane ySplit="5" topLeftCell="A42" activePane="bottomLeft" state="frozen"/>
      <selection pane="bottomLeft" activeCell="B7" sqref="B7:I7"/>
    </sheetView>
  </sheetViews>
  <sheetFormatPr defaultColWidth="12.6640625" defaultRowHeight="15.75" customHeight="1" x14ac:dyDescent="0.25"/>
  <cols>
    <col min="1" max="1" width="4.44140625" customWidth="1"/>
    <col min="2" max="2" width="19.109375" customWidth="1"/>
    <col min="3" max="6" width="13.6640625" customWidth="1"/>
    <col min="7" max="7" width="14.77734375" customWidth="1"/>
    <col min="8" max="9" width="13.6640625" customWidth="1"/>
    <col min="10" max="10" width="4.6640625" customWidth="1"/>
  </cols>
  <sheetData>
    <row r="1" spans="1:10" ht="13.2" x14ac:dyDescent="0.25">
      <c r="A1" s="1" t="str">
        <f ca="1">IFERROR(__xludf.DUMMYFUNCTION("IFERROR(IMPORTRANGE('System Setup'!AF4,""Assessment Report!A1:J""))"),"")</f>
        <v/>
      </c>
      <c r="B1" s="1"/>
      <c r="C1" s="1"/>
      <c r="D1" s="1"/>
      <c r="E1" s="1"/>
      <c r="F1" s="1"/>
      <c r="G1" s="1"/>
      <c r="H1" s="1"/>
      <c r="I1" s="1"/>
      <c r="J1" s="1"/>
    </row>
    <row r="2" spans="1:10" ht="21" customHeight="1" x14ac:dyDescent="0.25">
      <c r="A2" s="1"/>
      <c r="B2" s="293" t="str">
        <f ca="1">IFERROR(__xludf.DUMMYFUNCTION("""COMPUTED_VALUE"""),"Assessment analysis report")</f>
        <v>Assessment analysis report</v>
      </c>
      <c r="C2" s="206"/>
      <c r="D2" s="206"/>
      <c r="E2" s="206"/>
      <c r="F2" s="206"/>
      <c r="G2" s="206"/>
      <c r="H2" s="206"/>
      <c r="I2" s="206"/>
      <c r="J2" s="1"/>
    </row>
    <row r="3" spans="1:10" ht="18.75" customHeight="1" x14ac:dyDescent="0.25">
      <c r="A3" s="1"/>
      <c r="B3" s="293" t="str">
        <f ca="1">IFERROR(__xludf.DUMMYFUNCTION("""COMPUTED_VALUE"""),"OSCE Final Exam For General Practise 2  &lt;&lt; 2023-2024 &gt;&gt;")</f>
        <v>OSCE Final Exam For General Practise 2  &lt;&lt; 2023-2024 &gt;&gt;</v>
      </c>
      <c r="C3" s="206"/>
      <c r="D3" s="206"/>
      <c r="E3" s="206"/>
      <c r="F3" s="206"/>
      <c r="G3" s="206"/>
      <c r="H3" s="206"/>
      <c r="I3" s="206"/>
      <c r="J3" s="1"/>
    </row>
    <row r="4" spans="1:10" ht="13.8" x14ac:dyDescent="0.25">
      <c r="A4" s="1"/>
      <c r="B4" s="294">
        <f ca="1">IFERROR(__xludf.DUMMYFUNCTION("""COMPUTED_VALUE"""),45428)</f>
        <v>45428</v>
      </c>
      <c r="C4" s="206"/>
      <c r="D4" s="206"/>
      <c r="E4" s="206"/>
      <c r="F4" s="206"/>
      <c r="G4" s="206"/>
      <c r="H4" s="206"/>
      <c r="I4" s="206"/>
      <c r="J4" s="1"/>
    </row>
    <row r="5" spans="1:10" ht="9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3.2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3.2" x14ac:dyDescent="0.25">
      <c r="A7" s="1"/>
      <c r="B7" s="295" t="str">
        <f ca="1">IFERROR(__xludf.DUMMYFUNCTION("""COMPUTED_VALUE"""),"Test Identification Data")</f>
        <v>Test Identification Data</v>
      </c>
      <c r="C7" s="296"/>
      <c r="D7" s="296"/>
      <c r="E7" s="296"/>
      <c r="F7" s="296"/>
      <c r="G7" s="296"/>
      <c r="H7" s="296"/>
      <c r="I7" s="297"/>
      <c r="J7" s="1"/>
    </row>
    <row r="8" spans="1:10" ht="14.4" x14ac:dyDescent="0.25">
      <c r="A8" s="1"/>
      <c r="B8" s="126" t="str">
        <f ca="1">IFERROR(__xludf.DUMMYFUNCTION("""COMPUTED_VALUE"""),"Academic Year:")</f>
        <v>Academic Year:</v>
      </c>
      <c r="C8" s="298" t="str">
        <f ca="1">IFERROR(__xludf.DUMMYFUNCTION("""COMPUTED_VALUE"""),"2023-2024")</f>
        <v>2023-2024</v>
      </c>
      <c r="D8" s="284"/>
      <c r="E8" s="127" t="str">
        <f ca="1">IFERROR(__xludf.DUMMYFUNCTION("""COMPUTED_VALUE"""),"Course Name:")</f>
        <v>Course Name:</v>
      </c>
      <c r="F8" s="283" t="str">
        <f ca="1">IFERROR(__xludf.DUMMYFUNCTION("""COMPUTED_VALUE"""),"General Practise 2")</f>
        <v>General Practise 2</v>
      </c>
      <c r="G8" s="299"/>
      <c r="H8" s="299"/>
      <c r="I8" s="300"/>
      <c r="J8" s="1"/>
    </row>
    <row r="9" spans="1:10" ht="28.8" x14ac:dyDescent="0.25">
      <c r="A9" s="1"/>
      <c r="B9" s="126" t="str">
        <f ca="1">IFERROR(__xludf.DUMMYFUNCTION("""COMPUTED_VALUE"""),"Exam Date:")</f>
        <v>Exam Date:</v>
      </c>
      <c r="C9" s="291">
        <f ca="1">IFERROR(__xludf.DUMMYFUNCTION("""COMPUTED_VALUE"""),45428)</f>
        <v>45428</v>
      </c>
      <c r="D9" s="284"/>
      <c r="E9" s="127" t="str">
        <f ca="1">IFERROR(__xludf.DUMMYFUNCTION("""COMPUTED_VALUE"""),"Exam Category:")</f>
        <v>Exam Category:</v>
      </c>
      <c r="F9" s="127" t="str">
        <f ca="1">IFERROR(__xludf.DUMMYFUNCTION("""COMPUTED_VALUE"""),"OSCE")</f>
        <v>OSCE</v>
      </c>
      <c r="G9" s="283" t="str">
        <f ca="1">IFERROR(__xludf.DUMMYFUNCTION("""COMPUTED_VALUE"""),"Total No of Students:")</f>
        <v>Total No of Students:</v>
      </c>
      <c r="H9" s="284"/>
      <c r="I9" s="128">
        <f ca="1">IFERROR(__xludf.DUMMYFUNCTION("""COMPUTED_VALUE"""),93)</f>
        <v>93</v>
      </c>
      <c r="J9" s="1"/>
    </row>
    <row r="10" spans="1:10" ht="28.8" x14ac:dyDescent="0.25">
      <c r="A10" s="1"/>
      <c r="B10" s="129" t="str">
        <f ca="1">IFERROR(__xludf.DUMMYFUNCTION("""COMPUTED_VALUE"""),"Total Nr of Items:")</f>
        <v>Total Nr of Items:</v>
      </c>
      <c r="C10" s="292">
        <f ca="1">IFERROR(__xludf.DUMMYFUNCTION("""COMPUTED_VALUE"""),64)</f>
        <v>64</v>
      </c>
      <c r="D10" s="286"/>
      <c r="E10" s="130" t="str">
        <f ca="1">IFERROR(__xludf.DUMMYFUNCTION("""COMPUTED_VALUE"""),"Total Mark Raw:")</f>
        <v>Total Mark Raw:</v>
      </c>
      <c r="F10" s="131"/>
      <c r="G10" s="285" t="str">
        <f ca="1">IFERROR(__xludf.DUMMYFUNCTION("""COMPUTED_VALUE"""),"In Course Total Mark:")</f>
        <v>In Course Total Mark:</v>
      </c>
      <c r="H10" s="286"/>
      <c r="I10" s="132">
        <f ca="1">IFERROR(__xludf.DUMMYFUNCTION("""COMPUTED_VALUE"""),23.9999999999999)</f>
        <v>23.999999999999901</v>
      </c>
      <c r="J10" s="1"/>
    </row>
    <row r="11" spans="1:10" ht="14.4" x14ac:dyDescent="0.25">
      <c r="A11" s="1"/>
      <c r="B11" s="133"/>
      <c r="C11" s="133"/>
      <c r="D11" s="133"/>
      <c r="E11" s="133"/>
      <c r="F11" s="133"/>
      <c r="G11" s="133"/>
      <c r="H11" s="133"/>
      <c r="I11" s="133"/>
      <c r="J11" s="1"/>
    </row>
    <row r="12" spans="1:10" ht="13.2" x14ac:dyDescent="0.25">
      <c r="A12" s="1"/>
      <c r="B12" s="287" t="str">
        <f ca="1">IFERROR(__xludf.DUMMYFUNCTION("""COMPUTED_VALUE"""),"Over All OSCE Statistics")</f>
        <v>Over All OSCE Statistics</v>
      </c>
      <c r="C12" s="288"/>
      <c r="D12" s="288"/>
      <c r="E12" s="288"/>
      <c r="F12" s="288"/>
      <c r="G12" s="288"/>
      <c r="H12" s="288"/>
      <c r="I12" s="289"/>
      <c r="J12" s="1"/>
    </row>
    <row r="13" spans="1:10" ht="15.6" x14ac:dyDescent="0.25">
      <c r="A13" s="1"/>
      <c r="B13" s="134" t="str">
        <f ca="1">IFERROR(__xludf.DUMMYFUNCTION("""COMPUTED_VALUE"""),"Parameter")</f>
        <v>Parameter</v>
      </c>
      <c r="C13" s="135" t="str">
        <f ca="1">IFERROR(__xludf.DUMMYFUNCTION("""COMPUTED_VALUE"""),"Results*")</f>
        <v>Results*</v>
      </c>
      <c r="D13" s="290" t="str">
        <f ca="1">IFERROR(__xludf.DUMMYFUNCTION("""COMPUTED_VALUE"""),"Comments")</f>
        <v>Comments</v>
      </c>
      <c r="E13" s="274"/>
      <c r="F13" s="274"/>
      <c r="G13" s="274"/>
      <c r="H13" s="274"/>
      <c r="I13" s="275"/>
      <c r="J13" s="1"/>
    </row>
    <row r="14" spans="1:10" ht="14.4" x14ac:dyDescent="0.25">
      <c r="A14" s="1"/>
      <c r="B14" s="136" t="str">
        <f ca="1">IFERROR(__xludf.DUMMYFUNCTION("""COMPUTED_VALUE"""),"Average %")</f>
        <v>Average %</v>
      </c>
      <c r="C14" s="137">
        <f ca="1">IFERROR(__xludf.DUMMYFUNCTION("""COMPUTED_VALUE"""),0.733142156862745)</f>
        <v>0.73314215686274498</v>
      </c>
      <c r="D14" s="273"/>
      <c r="E14" s="274"/>
      <c r="F14" s="274"/>
      <c r="G14" s="274"/>
      <c r="H14" s="274"/>
      <c r="I14" s="275"/>
      <c r="J14" s="1"/>
    </row>
    <row r="15" spans="1:10" ht="14.4" x14ac:dyDescent="0.25">
      <c r="A15" s="1"/>
      <c r="B15" s="136" t="str">
        <f ca="1">IFERROR(__xludf.DUMMYFUNCTION("""COMPUTED_VALUE"""),"SD ")</f>
        <v xml:space="preserve">SD </v>
      </c>
      <c r="C15" s="137">
        <f ca="1">IFERROR(__xludf.DUMMYFUNCTION("""COMPUTED_VALUE"""),2.48376948212512)</f>
        <v>2.4837694821251199</v>
      </c>
      <c r="D15" s="273"/>
      <c r="E15" s="274"/>
      <c r="F15" s="274"/>
      <c r="G15" s="274"/>
      <c r="H15" s="274"/>
      <c r="I15" s="275"/>
      <c r="J15" s="1"/>
    </row>
    <row r="16" spans="1:10" ht="14.4" x14ac:dyDescent="0.25">
      <c r="A16" s="1"/>
      <c r="B16" s="136" t="str">
        <f ca="1">IFERROR(__xludf.DUMMYFUNCTION("""COMPUTED_VALUE"""),"Median")</f>
        <v>Median</v>
      </c>
      <c r="C16" s="137">
        <f ca="1">IFERROR(__xludf.DUMMYFUNCTION("""COMPUTED_VALUE"""),17.6)</f>
        <v>17.600000000000001</v>
      </c>
      <c r="D16" s="273"/>
      <c r="E16" s="274"/>
      <c r="F16" s="274"/>
      <c r="G16" s="274"/>
      <c r="H16" s="274"/>
      <c r="I16" s="275"/>
      <c r="J16" s="1"/>
    </row>
    <row r="17" spans="1:10" ht="14.4" x14ac:dyDescent="0.25">
      <c r="A17" s="1"/>
      <c r="B17" s="136" t="str">
        <f ca="1">IFERROR(__xludf.DUMMYFUNCTION("""COMPUTED_VALUE"""),"Minimum")</f>
        <v>Minimum</v>
      </c>
      <c r="C17" s="137">
        <f ca="1">IFERROR(__xludf.DUMMYFUNCTION("""COMPUTED_VALUE"""),11.89)</f>
        <v>11.89</v>
      </c>
      <c r="D17" s="273"/>
      <c r="E17" s="274"/>
      <c r="F17" s="274"/>
      <c r="G17" s="274"/>
      <c r="H17" s="274"/>
      <c r="I17" s="275"/>
      <c r="J17" s="1"/>
    </row>
    <row r="18" spans="1:10" ht="14.4" x14ac:dyDescent="0.25">
      <c r="A18" s="1"/>
      <c r="B18" s="136" t="str">
        <f ca="1">IFERROR(__xludf.DUMMYFUNCTION("""COMPUTED_VALUE"""),"Maximum")</f>
        <v>Maximum</v>
      </c>
      <c r="C18" s="137">
        <f ca="1">IFERROR(__xludf.DUMMYFUNCTION("""COMPUTED_VALUE"""),22.38)</f>
        <v>22.38</v>
      </c>
      <c r="D18" s="273"/>
      <c r="E18" s="274"/>
      <c r="F18" s="274"/>
      <c r="G18" s="274"/>
      <c r="H18" s="274"/>
      <c r="I18" s="275"/>
      <c r="J18" s="1"/>
    </row>
    <row r="19" spans="1:10" ht="14.4" x14ac:dyDescent="0.25">
      <c r="A19" s="1"/>
      <c r="B19" s="136" t="str">
        <f ca="1">IFERROR(__xludf.DUMMYFUNCTION("""COMPUTED_VALUE"""),"% of failure ")</f>
        <v xml:space="preserve">% of failure </v>
      </c>
      <c r="C19" s="137">
        <f ca="1">IFERROR(__xludf.DUMMYFUNCTION("""COMPUTED_VALUE"""),0.118279569892473)</f>
        <v>0.118279569892473</v>
      </c>
      <c r="D19" s="273"/>
      <c r="E19" s="274"/>
      <c r="F19" s="274"/>
      <c r="G19" s="274"/>
      <c r="H19" s="274"/>
      <c r="I19" s="275"/>
      <c r="J19" s="1"/>
    </row>
    <row r="20" spans="1:10" ht="14.4" x14ac:dyDescent="0.25">
      <c r="A20" s="1"/>
      <c r="B20" s="136" t="str">
        <f ca="1">IFERROR(__xludf.DUMMYFUNCTION("""COMPUTED_VALUE"""),"variance ")</f>
        <v xml:space="preserve">variance </v>
      </c>
      <c r="C20" s="137">
        <f ca="1">IFERROR(__xludf.DUMMYFUNCTION("""COMPUTED_VALUE"""),6.16911084033613)</f>
        <v>6.1691108403361303</v>
      </c>
      <c r="D20" s="273"/>
      <c r="E20" s="274"/>
      <c r="F20" s="274"/>
      <c r="G20" s="274"/>
      <c r="H20" s="274"/>
      <c r="I20" s="275"/>
      <c r="J20" s="1"/>
    </row>
    <row r="21" spans="1:10" ht="28.8" x14ac:dyDescent="0.25">
      <c r="A21" s="1"/>
      <c r="B21" s="136" t="str">
        <f ca="1">IFERROR(__xludf.DUMMYFUNCTION("""COMPUTED_VALUE"""),"Cronbach alpha if item is deleted")</f>
        <v>Cronbach alpha if item is deleted</v>
      </c>
      <c r="C21" s="137">
        <f ca="1">IFERROR(__xludf.DUMMYFUNCTION("""COMPUTED_VALUE"""),0.808794178767186)</f>
        <v>0.80879417876718596</v>
      </c>
      <c r="D21" s="273"/>
      <c r="E21" s="274"/>
      <c r="F21" s="274"/>
      <c r="G21" s="274"/>
      <c r="H21" s="274"/>
      <c r="I21" s="275"/>
      <c r="J21" s="1"/>
    </row>
    <row r="22" spans="1:10" ht="28.8" x14ac:dyDescent="0.25">
      <c r="A22" s="1"/>
      <c r="B22" s="136" t="str">
        <f ca="1">IFERROR(__xludf.DUMMYFUNCTION("""COMPUTED_VALUE"""),"Standard Error of Mean")</f>
        <v>Standard Error of Mean</v>
      </c>
      <c r="C22" s="137">
        <f ca="1">IFERROR(__xludf.DUMMYFUNCTION("""COMPUTED_VALUE"""),1.08608006357851)</f>
        <v>1.0860800635785099</v>
      </c>
      <c r="D22" s="273"/>
      <c r="E22" s="274"/>
      <c r="F22" s="274"/>
      <c r="G22" s="274"/>
      <c r="H22" s="274"/>
      <c r="I22" s="275"/>
      <c r="J22" s="1"/>
    </row>
    <row r="23" spans="1:10" ht="28.8" x14ac:dyDescent="0.25">
      <c r="A23" s="1"/>
      <c r="B23" s="136" t="str">
        <f ca="1">IFERROR(__xludf.DUMMYFUNCTION("""COMPUTED_VALUE"""),"Between-group variation")</f>
        <v>Between-group variation</v>
      </c>
      <c r="C23" s="137">
        <f ca="1">IFERROR(__xludf.DUMMYFUNCTION("""COMPUTED_VALUE"""),0.0000652683042162969)</f>
        <v>6.5268304216296901E-5</v>
      </c>
      <c r="D23" s="273"/>
      <c r="E23" s="274"/>
      <c r="F23" s="274"/>
      <c r="G23" s="274"/>
      <c r="H23" s="274"/>
      <c r="I23" s="275"/>
      <c r="J23" s="1"/>
    </row>
    <row r="24" spans="1:10" ht="14.4" x14ac:dyDescent="0.25">
      <c r="A24" s="1"/>
      <c r="B24" s="138"/>
      <c r="C24" s="139"/>
      <c r="D24" s="280"/>
      <c r="E24" s="281"/>
      <c r="F24" s="281"/>
      <c r="G24" s="281"/>
      <c r="H24" s="281"/>
      <c r="I24" s="282"/>
      <c r="J24" s="1"/>
    </row>
    <row r="25" spans="1:10" ht="13.2" x14ac:dyDescent="0.25">
      <c r="A25" s="1"/>
      <c r="B25" s="1"/>
      <c r="C25" s="140"/>
      <c r="D25" s="140"/>
      <c r="E25" s="140"/>
      <c r="F25" s="140"/>
      <c r="G25" s="140"/>
      <c r="H25" s="140"/>
      <c r="I25" s="140"/>
      <c r="J25" s="1"/>
    </row>
    <row r="26" spans="1:10" ht="13.2" x14ac:dyDescent="0.25">
      <c r="A26" s="1"/>
      <c r="B26" s="1"/>
      <c r="C26" s="140"/>
      <c r="D26" s="140"/>
      <c r="E26" s="140"/>
      <c r="F26" s="140"/>
      <c r="G26" s="140"/>
      <c r="H26" s="140"/>
      <c r="I26" s="140"/>
      <c r="J26" s="1"/>
    </row>
    <row r="27" spans="1:10" ht="22.5" customHeight="1" x14ac:dyDescent="0.25">
      <c r="A27" s="1"/>
      <c r="B27" s="276" t="str">
        <f ca="1">IFERROR(__xludf.DUMMYFUNCTION("""COMPUTED_VALUE"""),"Stations Analysis ")</f>
        <v xml:space="preserve">Stations Analysis </v>
      </c>
      <c r="C27" s="277"/>
      <c r="D27" s="277"/>
      <c r="E27" s="277"/>
      <c r="F27" s="277"/>
      <c r="G27" s="277"/>
      <c r="H27" s="277"/>
      <c r="I27" s="278"/>
      <c r="J27" s="1"/>
    </row>
    <row r="28" spans="1:10" ht="39.6" x14ac:dyDescent="0.25">
      <c r="A28" s="1"/>
      <c r="B28" s="141" t="str">
        <f ca="1">IFERROR(__xludf.DUMMYFUNCTION("""COMPUTED_VALUE"""),"  Station ")</f>
        <v xml:space="preserve">  Station </v>
      </c>
      <c r="C28" s="142" t="str">
        <f ca="1">IFERROR(__xludf.DUMMYFUNCTION("""COMPUTED_VALUE"""),"Average %")</f>
        <v>Average %</v>
      </c>
      <c r="D28" s="142" t="str">
        <f ca="1">IFERROR(__xludf.DUMMYFUNCTION("""COMPUTED_VALUE"""),"SD ")</f>
        <v xml:space="preserve">SD </v>
      </c>
      <c r="E28" s="142" t="str">
        <f ca="1">IFERROR(__xludf.DUMMYFUNCTION("""COMPUTED_VALUE"""),"Variance ")</f>
        <v xml:space="preserve">Variance </v>
      </c>
      <c r="F28" s="142" t="str">
        <f ca="1">IFERROR(__xludf.DUMMYFUNCTION("""COMPUTED_VALUE"""),"Cronbach alpha if item deleted")</f>
        <v>Cronbach alpha if item deleted</v>
      </c>
      <c r="G28" s="142" t="str">
        <f ca="1">IFERROR(__xludf.DUMMYFUNCTION("""COMPUTED_VALUE"""),"Coefficient of determination R2")</f>
        <v>Coefficient of determination R2</v>
      </c>
      <c r="H28" s="142" t="str">
        <f ca="1">IFERROR(__xludf.DUMMYFUNCTION("""COMPUTED_VALUE"""),"Inter-grade discrimination")</f>
        <v>Inter-grade discrimination</v>
      </c>
      <c r="I28" s="143" t="str">
        <f ca="1">IFERROR(__xludf.DUMMYFUNCTION("""COMPUTED_VALUE"""),"Between-group variation")</f>
        <v>Between-group variation</v>
      </c>
      <c r="J28" s="1"/>
    </row>
    <row r="29" spans="1:10" ht="13.2" x14ac:dyDescent="0.25">
      <c r="A29" s="1"/>
      <c r="B29" s="144" t="str">
        <f ca="1">IFERROR(__xludf.DUMMYFUNCTION("""COMPUTED_VALUE"""),"  Station 1")</f>
        <v xml:space="preserve">  Station 1</v>
      </c>
      <c r="C29" s="145">
        <f ca="1">IFERROR(__xludf.DUMMYFUNCTION("""COMPUTED_VALUE"""),0.743679775280899)</f>
        <v>0.74367977528089901</v>
      </c>
      <c r="D29" s="145">
        <f ca="1">IFERROR(__xludf.DUMMYFUNCTION("""COMPUTED_VALUE"""),0.336395878662026)</f>
        <v>0.33639587866202603</v>
      </c>
      <c r="E29" s="145">
        <f ca="1">IFERROR(__xludf.DUMMYFUNCTION("""COMPUTED_VALUE"""),0.113162187180796)</f>
        <v>0.113162187180796</v>
      </c>
      <c r="F29" s="145">
        <f ca="1">IFERROR(__xludf.DUMMYFUNCTION("""COMPUTED_VALUE"""),0.829175683782805)</f>
        <v>0.82917568378280504</v>
      </c>
      <c r="G29" s="145">
        <f ca="1">IFERROR(__xludf.DUMMYFUNCTION("""COMPUTED_VALUE"""),0.403766503231116)</f>
        <v>0.40376650323111601</v>
      </c>
      <c r="H29" s="145">
        <f ca="1">IFERROR(__xludf.DUMMYFUNCTION("""COMPUTED_VALUE"""),0.0295002431906614)</f>
        <v>2.9500243190661399E-2</v>
      </c>
      <c r="I29" s="146">
        <f ca="1">IFERROR(__xludf.DUMMYFUNCTION("""COMPUTED_VALUE"""),0.000124793586323227)</f>
        <v>1.24793586323227E-4</v>
      </c>
      <c r="J29" s="1"/>
    </row>
    <row r="30" spans="1:10" ht="13.2" x14ac:dyDescent="0.25">
      <c r="A30" s="1"/>
      <c r="B30" s="144" t="str">
        <f ca="1">IFERROR(__xludf.DUMMYFUNCTION("""COMPUTED_VALUE"""),"  Station 2")</f>
        <v xml:space="preserve">  Station 2</v>
      </c>
      <c r="C30" s="145">
        <f ca="1">IFERROR(__xludf.DUMMYFUNCTION("""COMPUTED_VALUE"""),0.869517941283073)</f>
        <v>0.86951794128307303</v>
      </c>
      <c r="D30" s="145">
        <f ca="1">IFERROR(__xludf.DUMMYFUNCTION("""COMPUTED_VALUE"""),0.297771904745036)</f>
        <v>0.29777190474503601</v>
      </c>
      <c r="E30" s="145">
        <f ca="1">IFERROR(__xludf.DUMMYFUNCTION("""COMPUTED_VALUE"""),0.0886681072554869)</f>
        <v>8.8668107255486905E-2</v>
      </c>
      <c r="F30" s="145">
        <f ca="1">IFERROR(__xludf.DUMMYFUNCTION("""COMPUTED_VALUE"""),0.824764084596824)</f>
        <v>0.82476408459682404</v>
      </c>
      <c r="G30" s="145">
        <f ca="1">IFERROR(__xludf.DUMMYFUNCTION("""COMPUTED_VALUE"""),0.658225683564999)</f>
        <v>0.658225683564999</v>
      </c>
      <c r="H30" s="145">
        <f ca="1">IFERROR(__xludf.DUMMYFUNCTION("""COMPUTED_VALUE"""),0.0341740979445168)</f>
        <v>3.4174097944516799E-2</v>
      </c>
      <c r="I30" s="146">
        <f ca="1">IFERROR(__xludf.DUMMYFUNCTION("""COMPUTED_VALUE"""),0.0000279678763123146)</f>
        <v>2.7967876312314602E-5</v>
      </c>
      <c r="J30" s="1"/>
    </row>
    <row r="31" spans="1:10" ht="13.2" x14ac:dyDescent="0.25">
      <c r="A31" s="1"/>
      <c r="B31" s="144" t="str">
        <f ca="1">IFERROR(__xludf.DUMMYFUNCTION("""COMPUTED_VALUE"""),"  Station 3")</f>
        <v xml:space="preserve">  Station 3</v>
      </c>
      <c r="C31" s="145">
        <f ca="1">IFERROR(__xludf.DUMMYFUNCTION("""COMPUTED_VALUE"""),0.757958801498127)</f>
        <v>0.757958801498127</v>
      </c>
      <c r="D31" s="145">
        <f ca="1">IFERROR(__xludf.DUMMYFUNCTION("""COMPUTED_VALUE"""),0.392797774854366)</f>
        <v>0.39279777485436601</v>
      </c>
      <c r="E31" s="145">
        <f ca="1">IFERROR(__xludf.DUMMYFUNCTION("""COMPUTED_VALUE"""),0.154290091930541)</f>
        <v>0.154290091930541</v>
      </c>
      <c r="F31" s="145">
        <f ca="1">IFERROR(__xludf.DUMMYFUNCTION("""COMPUTED_VALUE"""),0.836583181091067)</f>
        <v>0.836583181091067</v>
      </c>
      <c r="G31" s="145">
        <f ca="1">IFERROR(__xludf.DUMMYFUNCTION("""COMPUTED_VALUE"""),0.74110819894197)</f>
        <v>0.74110819894197</v>
      </c>
      <c r="H31" s="145">
        <f ca="1">IFERROR(__xludf.DUMMYFUNCTION("""COMPUTED_VALUE"""),0.0321356088560885)</f>
        <v>3.2135608856088502E-2</v>
      </c>
      <c r="I31" s="146">
        <f ca="1">IFERROR(__xludf.DUMMYFUNCTION("""COMPUTED_VALUE"""),0.000106021887193684)</f>
        <v>1.06021887193684E-4</v>
      </c>
      <c r="J31" s="1"/>
    </row>
    <row r="32" spans="1:10" ht="13.2" x14ac:dyDescent="0.25">
      <c r="A32" s="1"/>
      <c r="B32" s="144" t="str">
        <f ca="1">IFERROR(__xludf.DUMMYFUNCTION("""COMPUTED_VALUE"""),"  Station 4")</f>
        <v xml:space="preserve">  Station 4</v>
      </c>
      <c r="C32" s="145">
        <f ca="1">IFERROR(__xludf.DUMMYFUNCTION("""COMPUTED_VALUE"""),0.780337078651685)</f>
        <v>0.780337078651685</v>
      </c>
      <c r="D32" s="145">
        <f ca="1">IFERROR(__xludf.DUMMYFUNCTION("""COMPUTED_VALUE"""),0.441878708069937)</f>
        <v>0.44187870806993701</v>
      </c>
      <c r="E32" s="145">
        <f ca="1">IFERROR(__xludf.DUMMYFUNCTION("""COMPUTED_VALUE"""),0.195256792645556)</f>
        <v>0.19525679264555601</v>
      </c>
      <c r="F32" s="145">
        <f ca="1">IFERROR(__xludf.DUMMYFUNCTION("""COMPUTED_VALUE"""),0.843961644135109)</f>
        <v>0.84396164413510899</v>
      </c>
      <c r="G32" s="145">
        <f ca="1">IFERROR(__xludf.DUMMYFUNCTION("""COMPUTED_VALUE"""),0.502696447335624)</f>
        <v>0.50269644733562402</v>
      </c>
      <c r="H32" s="145">
        <f ca="1">IFERROR(__xludf.DUMMYFUNCTION("""COMPUTED_VALUE"""),0.0362877697841726)</f>
        <v>3.6287769784172599E-2</v>
      </c>
      <c r="I32" s="146">
        <f ca="1">IFERROR(__xludf.DUMMYFUNCTION("""COMPUTED_VALUE"""),0.000103374780593748)</f>
        <v>1.03374780593748E-4</v>
      </c>
      <c r="J32" s="1"/>
    </row>
    <row r="33" spans="1:10" ht="13.2" x14ac:dyDescent="0.25">
      <c r="A33" s="1"/>
      <c r="B33" s="144" t="str">
        <f ca="1">IFERROR(__xludf.DUMMYFUNCTION("""COMPUTED_VALUE"""),"  Station 5")</f>
        <v xml:space="preserve">  Station 5</v>
      </c>
      <c r="C33" s="145">
        <f ca="1">IFERROR(__xludf.DUMMYFUNCTION("""COMPUTED_VALUE"""),0.847191011235955)</f>
        <v>0.84719101123595497</v>
      </c>
      <c r="D33" s="145">
        <f ca="1">IFERROR(__xludf.DUMMYFUNCTION("""COMPUTED_VALUE"""),0.310906940479633)</f>
        <v>0.31090694047963302</v>
      </c>
      <c r="E33" s="145">
        <f ca="1">IFERROR(__xludf.DUMMYFUNCTION("""COMPUTED_VALUE"""),0.0966631256384066)</f>
        <v>9.6663125638406594E-2</v>
      </c>
      <c r="F33" s="145">
        <f ca="1">IFERROR(__xludf.DUMMYFUNCTION("""COMPUTED_VALUE"""),0.826204057712676)</f>
        <v>0.82620405771267602</v>
      </c>
      <c r="G33" s="145">
        <f ca="1">IFERROR(__xludf.DUMMYFUNCTION("""COMPUTED_VALUE"""),0.565107604548067)</f>
        <v>0.56510760454806697</v>
      </c>
      <c r="H33" s="145">
        <f ca="1">IFERROR(__xludf.DUMMYFUNCTION("""COMPUTED_VALUE"""),0.0317725342142519)</f>
        <v>3.1772534214251899E-2</v>
      </c>
      <c r="I33" s="146">
        <f ca="1">IFERROR(__xludf.DUMMYFUNCTION("""COMPUTED_VALUE"""),0.0000736527407448395)</f>
        <v>7.3652740744839496E-5</v>
      </c>
      <c r="J33" s="1"/>
    </row>
    <row r="34" spans="1:10" ht="13.2" x14ac:dyDescent="0.25">
      <c r="A34" s="1"/>
      <c r="B34" s="144" t="str">
        <f ca="1">IFERROR(__xludf.DUMMYFUNCTION("""COMPUTED_VALUE"""),"  Station 6")</f>
        <v xml:space="preserve">  Station 6</v>
      </c>
      <c r="C34" s="145">
        <f ca="1">IFERROR(__xludf.DUMMYFUNCTION("""COMPUTED_VALUE"""),0.652935606060606)</f>
        <v>0.65293560606060597</v>
      </c>
      <c r="D34" s="145">
        <f ca="1">IFERROR(__xludf.DUMMYFUNCTION("""COMPUTED_VALUE"""),0.563389086047956)</f>
        <v>0.56338908604795601</v>
      </c>
      <c r="E34" s="145">
        <f ca="1">IFERROR(__xludf.DUMMYFUNCTION("""COMPUTED_VALUE"""),0.317407262277951)</f>
        <v>0.31740726227795102</v>
      </c>
      <c r="F34" s="145">
        <f ca="1">IFERROR(__xludf.DUMMYFUNCTION("""COMPUTED_VALUE"""),0.865962017859728)</f>
        <v>0.86596201785972804</v>
      </c>
      <c r="G34" s="145">
        <f ca="1">IFERROR(__xludf.DUMMYFUNCTION("""COMPUTED_VALUE"""),0.869279038844059)</f>
        <v>0.86927903884405899</v>
      </c>
      <c r="H34" s="145">
        <f ca="1">IFERROR(__xludf.DUMMYFUNCTION("""COMPUTED_VALUE"""),0.0468331429758072)</f>
        <v>4.68331429758072E-2</v>
      </c>
      <c r="I34" s="146">
        <f ca="1">IFERROR(__xludf.DUMMYFUNCTION("""COMPUTED_VALUE"""),0.0000581249803683724)</f>
        <v>5.8124980368372401E-5</v>
      </c>
      <c r="J34" s="1"/>
    </row>
    <row r="35" spans="1:10" ht="13.2" x14ac:dyDescent="0.25">
      <c r="A35" s="1"/>
      <c r="B35" s="144" t="str">
        <f ca="1">IFERROR(__xludf.DUMMYFUNCTION("""COMPUTED_VALUE"""),"  Station 7")</f>
        <v xml:space="preserve">  Station 7</v>
      </c>
      <c r="C35" s="145">
        <f ca="1">IFERROR(__xludf.DUMMYFUNCTION("""COMPUTED_VALUE"""),0.776629213483145)</f>
        <v>0.77662921348314495</v>
      </c>
      <c r="D35" s="145">
        <f ca="1">IFERROR(__xludf.DUMMYFUNCTION("""COMPUTED_VALUE"""),1.02022449411201)</f>
        <v>1.02022449411201</v>
      </c>
      <c r="E35" s="145">
        <f ca="1">IFERROR(__xludf.DUMMYFUNCTION("""COMPUTED_VALUE"""),0.131706900919305)</f>
        <v>0.13170690091930501</v>
      </c>
      <c r="F35" s="145">
        <f ca="1">IFERROR(__xludf.DUMMYFUNCTION("""COMPUTED_VALUE"""),0.832515749802126)</f>
        <v>0.83251574980212595</v>
      </c>
      <c r="G35" s="145">
        <f ca="1">IFERROR(__xludf.DUMMYFUNCTION("""COMPUTED_VALUE"""),0.692782214228704)</f>
        <v>0.69278221422870401</v>
      </c>
      <c r="H35" s="145">
        <f ca="1">IFERROR(__xludf.DUMMYFUNCTION("""COMPUTED_VALUE"""),0.0296078508341511)</f>
        <v>2.96078508341511E-2</v>
      </c>
      <c r="I35" s="146">
        <f ca="1">IFERROR(__xludf.DUMMYFUNCTION("""COMPUTED_VALUE"""),0.000158594586338612)</f>
        <v>1.5859458633861199E-4</v>
      </c>
      <c r="J35" s="1"/>
    </row>
    <row r="36" spans="1:10" ht="13.2" x14ac:dyDescent="0.25">
      <c r="A36" s="1"/>
      <c r="B36" s="144" t="str">
        <f ca="1">IFERROR(__xludf.DUMMYFUNCTION("""COMPUTED_VALUE"""),"  Station 8")</f>
        <v xml:space="preserve">  Station 8</v>
      </c>
      <c r="C36" s="145">
        <f ca="1">IFERROR(__xludf.DUMMYFUNCTION("""COMPUTED_VALUE"""),0.651043338683787)</f>
        <v>0.65104333868378705</v>
      </c>
      <c r="D36" s="145">
        <f ca="1">IFERROR(__xludf.DUMMYFUNCTION("""COMPUTED_VALUE"""),0.364091320739193)</f>
        <v>0.36409132073919298</v>
      </c>
      <c r="E36" s="145">
        <f ca="1">IFERROR(__xludf.DUMMYFUNCTION("""COMPUTED_VALUE"""),0.13256248983761)</f>
        <v>0.13256248983760999</v>
      </c>
      <c r="F36" s="145">
        <f ca="1">IFERROR(__xludf.DUMMYFUNCTION("""COMPUTED_VALUE"""),0.832669848890029)</f>
        <v>0.83266984889002904</v>
      </c>
      <c r="G36" s="145">
        <f ca="1">IFERROR(__xludf.DUMMYFUNCTION("""COMPUTED_VALUE"""),0.452228988758132)</f>
        <v>0.452228988758132</v>
      </c>
      <c r="H36" s="145">
        <f ca="1">IFERROR(__xludf.DUMMYFUNCTION("""COMPUTED_VALUE"""),0.0329902642559109)</f>
        <v>3.2990264255910902E-2</v>
      </c>
      <c r="I36" s="146">
        <f ca="1">IFERROR(__xludf.DUMMYFUNCTION("""COMPUTED_VALUE"""),0.0000491868445327169)</f>
        <v>4.9186844532716898E-5</v>
      </c>
      <c r="J36" s="1"/>
    </row>
    <row r="37" spans="1:10" ht="13.2" x14ac:dyDescent="0.25">
      <c r="A37" s="1"/>
      <c r="B37" s="144" t="str">
        <f ca="1">IFERROR(__xludf.DUMMYFUNCTION("""COMPUTED_VALUE"""),"  Station 9")</f>
        <v xml:space="preserve">  Station 9</v>
      </c>
      <c r="C37" s="145">
        <f ca="1">IFERROR(__xludf.DUMMYFUNCTION("""COMPUTED_VALUE"""),0.855337078651685)</f>
        <v>0.85533707865168496</v>
      </c>
      <c r="D37" s="145">
        <f ca="1">IFERROR(__xludf.DUMMYFUNCTION("""COMPUTED_VALUE"""),0.244961679582212)</f>
        <v>0.24496167958221199</v>
      </c>
      <c r="E37" s="145">
        <f ca="1">IFERROR(__xludf.DUMMYFUNCTION("""COMPUTED_VALUE"""),0.0600062244637384)</f>
        <v>6.0006224463738399E-2</v>
      </c>
      <c r="F37" s="145">
        <f ca="1">IFERROR(__xludf.DUMMYFUNCTION("""COMPUTED_VALUE"""),0.819601827464556)</f>
        <v>0.81960182746455601</v>
      </c>
      <c r="G37" s="145">
        <f ca="1">IFERROR(__xludf.DUMMYFUNCTION("""COMPUTED_VALUE"""),0.580181147816565)</f>
        <v>0.58018114781656505</v>
      </c>
      <c r="H37" s="145">
        <f ca="1">IFERROR(__xludf.DUMMYFUNCTION("""COMPUTED_VALUE"""),0.0224625277572168)</f>
        <v>2.2462527757216799E-2</v>
      </c>
      <c r="I37" s="146">
        <f ca="1">IFERROR(__xludf.DUMMYFUNCTION("""COMPUTED_VALUE"""),0.0000503853979652903)</f>
        <v>5.0385397965290299E-5</v>
      </c>
      <c r="J37" s="1"/>
    </row>
    <row r="38" spans="1:10" ht="13.2" x14ac:dyDescent="0.25">
      <c r="A38" s="1"/>
      <c r="B38" s="144" t="str">
        <f ca="1">IFERROR(__xludf.DUMMYFUNCTION("""COMPUTED_VALUE"""),"  Station 10")</f>
        <v xml:space="preserve">  Station 10</v>
      </c>
      <c r="C38" s="145">
        <f ca="1">IFERROR(__xludf.DUMMYFUNCTION("""COMPUTED_VALUE"""),0.399821109123434)</f>
        <v>0.39982110912343399</v>
      </c>
      <c r="D38" s="145">
        <f ca="1">IFERROR(__xludf.DUMMYFUNCTION("""COMPUTED_VALUE"""),0.623538945003973)</f>
        <v>0.623538945003973</v>
      </c>
      <c r="E38" s="145">
        <f ca="1">IFERROR(__xludf.DUMMYFUNCTION("""COMPUTED_VALUE"""),0.388800815936667)</f>
        <v>0.38880081593666699</v>
      </c>
      <c r="F38" s="145">
        <f ca="1">IFERROR(__xludf.DUMMYFUNCTION("""COMPUTED_VALUE"""),0.878820624680867)</f>
        <v>0.87882062468086697</v>
      </c>
      <c r="G38" s="145">
        <f ca="1">IFERROR(__xludf.DUMMYFUNCTION("""COMPUTED_VALUE"""),0.660797041274378)</f>
        <v>0.66079704127437799</v>
      </c>
      <c r="H38" s="145">
        <f ca="1">IFERROR(__xludf.DUMMYFUNCTION("""COMPUTED_VALUE"""),0.05401921881723)</f>
        <v>5.401921881723E-2</v>
      </c>
      <c r="I38" s="146">
        <f ca="1">IFERROR(__xludf.DUMMYFUNCTION("""COMPUTED_VALUE"""),0.000180558220442078)</f>
        <v>1.8055822044207799E-4</v>
      </c>
      <c r="J38" s="1"/>
    </row>
    <row r="39" spans="1:10" ht="13.2" x14ac:dyDescent="0.25">
      <c r="A39" s="1"/>
      <c r="B39" s="144" t="str">
        <f ca="1">IFERROR(__xludf.DUMMYFUNCTION("""COMPUTED_VALUE"""),"  Station 11")</f>
        <v xml:space="preserve">  Station 11</v>
      </c>
      <c r="C39" s="147"/>
      <c r="D39" s="147"/>
      <c r="E39" s="147" t="str">
        <f ca="1">IFERROR(__xludf.DUMMYFUNCTION("""COMPUTED_VALUE"""),"")</f>
        <v/>
      </c>
      <c r="F39" s="147" t="str">
        <f ca="1">IFERROR(__xludf.DUMMYFUNCTION("""COMPUTED_VALUE"""),"")</f>
        <v/>
      </c>
      <c r="G39" s="147"/>
      <c r="H39" s="147"/>
      <c r="I39" s="148"/>
      <c r="J39" s="1"/>
    </row>
    <row r="40" spans="1:10" ht="13.2" x14ac:dyDescent="0.25">
      <c r="A40" s="1"/>
      <c r="B40" s="144" t="str">
        <f ca="1">IFERROR(__xludf.DUMMYFUNCTION("""COMPUTED_VALUE"""),"  Station 12")</f>
        <v xml:space="preserve">  Station 12</v>
      </c>
      <c r="C40" s="149"/>
      <c r="D40" s="149"/>
      <c r="E40" s="149" t="str">
        <f ca="1">IFERROR(__xludf.DUMMYFUNCTION("""COMPUTED_VALUE"""),"")</f>
        <v/>
      </c>
      <c r="F40" s="149" t="str">
        <f ca="1">IFERROR(__xludf.DUMMYFUNCTION("""COMPUTED_VALUE"""),"")</f>
        <v/>
      </c>
      <c r="G40" s="149"/>
      <c r="H40" s="149"/>
      <c r="I40" s="150"/>
      <c r="J40" s="1"/>
    </row>
    <row r="41" spans="1:10" ht="13.2" x14ac:dyDescent="0.25">
      <c r="A41" s="1"/>
      <c r="B41" s="144" t="str">
        <f ca="1">IFERROR(__xludf.DUMMYFUNCTION("""COMPUTED_VALUE"""),"  Station 13")</f>
        <v xml:space="preserve">  Station 13</v>
      </c>
      <c r="C41" s="149"/>
      <c r="D41" s="149"/>
      <c r="E41" s="149" t="str">
        <f ca="1">IFERROR(__xludf.DUMMYFUNCTION("""COMPUTED_VALUE"""),"")</f>
        <v/>
      </c>
      <c r="F41" s="149" t="str">
        <f ca="1">IFERROR(__xludf.DUMMYFUNCTION("""COMPUTED_VALUE"""),"")</f>
        <v/>
      </c>
      <c r="G41" s="149"/>
      <c r="H41" s="149"/>
      <c r="I41" s="150"/>
      <c r="J41" s="1"/>
    </row>
    <row r="42" spans="1:10" ht="13.2" x14ac:dyDescent="0.25">
      <c r="A42" s="1"/>
      <c r="B42" s="144" t="str">
        <f ca="1">IFERROR(__xludf.DUMMYFUNCTION("""COMPUTED_VALUE"""),"  Station 14")</f>
        <v xml:space="preserve">  Station 14</v>
      </c>
      <c r="C42" s="149"/>
      <c r="D42" s="149"/>
      <c r="E42" s="149" t="str">
        <f ca="1">IFERROR(__xludf.DUMMYFUNCTION("""COMPUTED_VALUE"""),"")</f>
        <v/>
      </c>
      <c r="F42" s="149" t="str">
        <f ca="1">IFERROR(__xludf.DUMMYFUNCTION("""COMPUTED_VALUE"""),"")</f>
        <v/>
      </c>
      <c r="G42" s="149"/>
      <c r="H42" s="149"/>
      <c r="I42" s="150"/>
      <c r="J42" s="1"/>
    </row>
    <row r="43" spans="1:10" ht="13.2" x14ac:dyDescent="0.25">
      <c r="A43" s="1"/>
      <c r="B43" s="144" t="str">
        <f ca="1">IFERROR(__xludf.DUMMYFUNCTION("""COMPUTED_VALUE"""),"  Station 15")</f>
        <v xml:space="preserve">  Station 15</v>
      </c>
      <c r="C43" s="149"/>
      <c r="D43" s="149"/>
      <c r="E43" s="149" t="str">
        <f ca="1">IFERROR(__xludf.DUMMYFUNCTION("""COMPUTED_VALUE"""),"")</f>
        <v/>
      </c>
      <c r="F43" s="149" t="str">
        <f ca="1">IFERROR(__xludf.DUMMYFUNCTION("""COMPUTED_VALUE"""),"")</f>
        <v/>
      </c>
      <c r="G43" s="149"/>
      <c r="H43" s="149"/>
      <c r="I43" s="150"/>
      <c r="J43" s="1"/>
    </row>
    <row r="44" spans="1:10" ht="13.2" x14ac:dyDescent="0.25">
      <c r="A44" s="1"/>
      <c r="B44" s="144" t="str">
        <f ca="1">IFERROR(__xludf.DUMMYFUNCTION("""COMPUTED_VALUE"""),"  Station 16")</f>
        <v xml:space="preserve">  Station 16</v>
      </c>
      <c r="C44" s="151"/>
      <c r="D44" s="151"/>
      <c r="E44" s="151" t="str">
        <f ca="1">IFERROR(__xludf.DUMMYFUNCTION("""COMPUTED_VALUE"""),"")</f>
        <v/>
      </c>
      <c r="F44" s="151" t="str">
        <f ca="1">IFERROR(__xludf.DUMMYFUNCTION("""COMPUTED_VALUE"""),"")</f>
        <v/>
      </c>
      <c r="G44" s="151"/>
      <c r="H44" s="151"/>
      <c r="I44" s="152"/>
      <c r="J44" s="1"/>
    </row>
    <row r="45" spans="1:10" ht="13.2" x14ac:dyDescent="0.25">
      <c r="A45" s="1"/>
      <c r="B45" s="153"/>
      <c r="C45" s="153"/>
      <c r="D45" s="153"/>
      <c r="E45" s="153"/>
      <c r="F45" s="153"/>
      <c r="G45" s="153"/>
      <c r="H45" s="153"/>
      <c r="I45" s="153"/>
      <c r="J45" s="1"/>
    </row>
    <row r="46" spans="1:10" ht="13.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23.25" customHeight="1" x14ac:dyDescent="0.25">
      <c r="A47" s="1"/>
      <c r="B47" s="279" t="str">
        <f ca="1">IFERROR(__xludf.DUMMYFUNCTION("""COMPUTED_VALUE"""),"Average Mark per Group ")</f>
        <v xml:space="preserve">Average Mark per Group </v>
      </c>
      <c r="C47" s="277"/>
      <c r="D47" s="277"/>
      <c r="E47" s="277"/>
      <c r="F47" s="277"/>
      <c r="G47" s="277"/>
      <c r="H47" s="277"/>
      <c r="I47" s="278"/>
      <c r="J47" s="1"/>
    </row>
    <row r="48" spans="1:10" ht="23.25" customHeight="1" x14ac:dyDescent="0.25">
      <c r="A48" s="1"/>
      <c r="B48" s="154" t="str">
        <f ca="1">IFERROR(__xludf.DUMMYFUNCTION("""COMPUTED_VALUE"""),"Student Group")</f>
        <v>Student Group</v>
      </c>
      <c r="C48" s="155" t="str">
        <f ca="1">IFERROR(__xludf.DUMMYFUNCTION("""COMPUTED_VALUE"""),"All Station ")</f>
        <v xml:space="preserve">All Station </v>
      </c>
      <c r="D48" s="155" t="str">
        <f ca="1">IFERROR(__xludf.DUMMYFUNCTION("""COMPUTED_VALUE"""),"  Station 1")</f>
        <v xml:space="preserve">  Station 1</v>
      </c>
      <c r="E48" s="155" t="str">
        <f ca="1">IFERROR(__xludf.DUMMYFUNCTION("""COMPUTED_VALUE"""),"  Station 2")</f>
        <v xml:space="preserve">  Station 2</v>
      </c>
      <c r="F48" s="155" t="str">
        <f ca="1">IFERROR(__xludf.DUMMYFUNCTION("""COMPUTED_VALUE"""),"  Station 3")</f>
        <v xml:space="preserve">  Station 3</v>
      </c>
      <c r="G48" s="155" t="str">
        <f ca="1">IFERROR(__xludf.DUMMYFUNCTION("""COMPUTED_VALUE"""),"  Station 4")</f>
        <v xml:space="preserve">  Station 4</v>
      </c>
      <c r="H48" s="155" t="str">
        <f ca="1">IFERROR(__xludf.DUMMYFUNCTION("""COMPUTED_VALUE"""),"  Station 5")</f>
        <v xml:space="preserve">  Station 5</v>
      </c>
      <c r="I48" s="156" t="str">
        <f ca="1">IFERROR(__xludf.DUMMYFUNCTION("""COMPUTED_VALUE"""),"  Station 6")</f>
        <v xml:space="preserve">  Station 6</v>
      </c>
      <c r="J48" s="1"/>
    </row>
    <row r="49" spans="1:10" ht="20.25" hidden="1" customHeight="1" x14ac:dyDescent="0.25">
      <c r="A49" s="1"/>
      <c r="B49" s="157" t="str">
        <f ca="1">IFERROR(__xludf.DUMMYFUNCTION("""COMPUTED_VALUE"""),"Student Group")</f>
        <v>Student Group</v>
      </c>
      <c r="C49" s="158" t="str">
        <f ca="1">IFERROR(__xludf.DUMMYFUNCTION("""COMPUTED_VALUE"""),"#Total")</f>
        <v>#Total</v>
      </c>
      <c r="D49" s="158" t="str">
        <f ca="1">IFERROR(__xludf.DUMMYFUNCTION("""COMPUTED_VALUE"""),"01. Station")</f>
        <v>01. Station</v>
      </c>
      <c r="E49" s="158" t="str">
        <f ca="1">IFERROR(__xludf.DUMMYFUNCTION("""COMPUTED_VALUE"""),"02. Station")</f>
        <v>02. Station</v>
      </c>
      <c r="F49" s="158" t="str">
        <f ca="1">IFERROR(__xludf.DUMMYFUNCTION("""COMPUTED_VALUE"""),"03. Station")</f>
        <v>03. Station</v>
      </c>
      <c r="G49" s="158" t="str">
        <f ca="1">IFERROR(__xludf.DUMMYFUNCTION("""COMPUTED_VALUE"""),"04. Station")</f>
        <v>04. Station</v>
      </c>
      <c r="H49" s="158" t="str">
        <f ca="1">IFERROR(__xludf.DUMMYFUNCTION("""COMPUTED_VALUE"""),"05. Station")</f>
        <v>05. Station</v>
      </c>
      <c r="I49" s="159" t="str">
        <f ca="1">IFERROR(__xludf.DUMMYFUNCTION("""COMPUTED_VALUE"""),"06. Station")</f>
        <v>06. Station</v>
      </c>
      <c r="J49" s="1"/>
    </row>
    <row r="50" spans="1:10" ht="13.2" x14ac:dyDescent="0.25">
      <c r="A50" s="1"/>
      <c r="B50" s="144" t="str">
        <f ca="1">IFERROR(__xludf.DUMMYFUNCTION("""COMPUTED_VALUE"""),"G01")</f>
        <v>G01</v>
      </c>
      <c r="C50" s="145">
        <f ca="1">IFERROR(__xludf.DUMMYFUNCTION("""COMPUTED_VALUE"""),0.0723333333333333)</f>
        <v>7.2333333333333305E-2</v>
      </c>
      <c r="D50" s="145">
        <f ca="1">IFERROR(__xludf.DUMMYFUNCTION("""COMPUTED_VALUE"""),0.0592857142857143)</f>
        <v>5.9285714285714303E-2</v>
      </c>
      <c r="E50" s="145">
        <f ca="1">IFERROR(__xludf.DUMMYFUNCTION("""COMPUTED_VALUE"""),0.08984375)</f>
        <v>8.984375E-2</v>
      </c>
      <c r="F50" s="145">
        <f ca="1">IFERROR(__xludf.DUMMYFUNCTION("""COMPUTED_VALUE"""),0.0519230769230769)</f>
        <v>5.1923076923076898E-2</v>
      </c>
      <c r="G50" s="145"/>
      <c r="H50" s="145"/>
      <c r="I50" s="145"/>
      <c r="J50" s="1"/>
    </row>
    <row r="51" spans="1:10" ht="13.2" x14ac:dyDescent="0.25">
      <c r="A51" s="1"/>
      <c r="B51" s="144" t="str">
        <f ca="1">IFERROR(__xludf.DUMMYFUNCTION("""COMPUTED_VALUE"""),"G02")</f>
        <v>G02</v>
      </c>
      <c r="C51" s="145">
        <f ca="1">IFERROR(__xludf.DUMMYFUNCTION("""COMPUTED_VALUE"""),0.0803636363636363)</f>
        <v>8.0363636363636304E-2</v>
      </c>
      <c r="D51" s="145">
        <f ca="1">IFERROR(__xludf.DUMMYFUNCTION("""COMPUTED_VALUE"""),0.0597402597402597)</f>
        <v>5.9740259740259698E-2</v>
      </c>
      <c r="E51" s="145">
        <f ca="1">IFERROR(__xludf.DUMMYFUNCTION("""COMPUTED_VALUE"""),0.0875)</f>
        <v>8.7499999999999994E-2</v>
      </c>
      <c r="F51" s="145">
        <f ca="1">IFERROR(__xludf.DUMMYFUNCTION("""COMPUTED_VALUE"""),0.0461538461538461)</f>
        <v>4.6153846153846101E-2</v>
      </c>
      <c r="G51" s="145"/>
      <c r="H51" s="145"/>
      <c r="I51" s="145"/>
      <c r="J51" s="1"/>
    </row>
    <row r="52" spans="1:10" ht="13.2" x14ac:dyDescent="0.25">
      <c r="A52" s="1"/>
      <c r="B52" s="144" t="str">
        <f ca="1">IFERROR(__xludf.DUMMYFUNCTION("""COMPUTED_VALUE"""),"G03")</f>
        <v>G03</v>
      </c>
      <c r="C52" s="145">
        <f ca="1">IFERROR(__xludf.DUMMYFUNCTION("""COMPUTED_VALUE"""),0.0836)</f>
        <v>8.3599999999999994E-2</v>
      </c>
      <c r="D52" s="145">
        <f ca="1">IFERROR(__xludf.DUMMYFUNCTION("""COMPUTED_VALUE"""),0.0651428571428571)</f>
        <v>6.51428571428571E-2</v>
      </c>
      <c r="E52" s="145">
        <f ca="1">IFERROR(__xludf.DUMMYFUNCTION("""COMPUTED_VALUE"""),0.085)</f>
        <v>8.5000000000000006E-2</v>
      </c>
      <c r="F52" s="145">
        <f ca="1">IFERROR(__xludf.DUMMYFUNCTION("""COMPUTED_VALUE"""),0.04)</f>
        <v>0.04</v>
      </c>
      <c r="G52" s="145"/>
      <c r="H52" s="145"/>
      <c r="I52" s="145"/>
      <c r="J52" s="1"/>
    </row>
    <row r="53" spans="1:10" ht="13.2" x14ac:dyDescent="0.25">
      <c r="A53" s="1"/>
      <c r="B53" s="144" t="str">
        <f ca="1">IFERROR(__xludf.DUMMYFUNCTION("""COMPUTED_VALUE"""),"G04")</f>
        <v>G04</v>
      </c>
      <c r="C53" s="145">
        <f ca="1">IFERROR(__xludf.DUMMYFUNCTION("""COMPUTED_VALUE"""),0.072)</f>
        <v>7.1999999999999995E-2</v>
      </c>
      <c r="D53" s="145">
        <f ca="1">IFERROR(__xludf.DUMMYFUNCTION("""COMPUTED_VALUE"""),0.0617142857142857)</f>
        <v>6.1714285714285701E-2</v>
      </c>
      <c r="E53" s="145">
        <f ca="1">IFERROR(__xludf.DUMMYFUNCTION("""COMPUTED_VALUE"""),0.0859375)</f>
        <v>8.59375E-2</v>
      </c>
      <c r="F53" s="145">
        <f ca="1">IFERROR(__xludf.DUMMYFUNCTION("""COMPUTED_VALUE"""),0.0269230769230769)</f>
        <v>2.69230769230769E-2</v>
      </c>
      <c r="G53" s="145"/>
      <c r="H53" s="145"/>
      <c r="I53" s="145"/>
      <c r="J53" s="1"/>
    </row>
    <row r="54" spans="1:10" ht="13.2" x14ac:dyDescent="0.25">
      <c r="A54" s="1"/>
      <c r="B54" s="144" t="str">
        <f ca="1">IFERROR(__xludf.DUMMYFUNCTION("""COMPUTED_VALUE"""),"G05")</f>
        <v>G05</v>
      </c>
      <c r="C54" s="145">
        <f ca="1">IFERROR(__xludf.DUMMYFUNCTION("""COMPUTED_VALUE"""),0.0752)</f>
        <v>7.5200000000000003E-2</v>
      </c>
      <c r="D54" s="145">
        <f ca="1">IFERROR(__xludf.DUMMYFUNCTION("""COMPUTED_VALUE"""),0.0577142857142857)</f>
        <v>5.7714285714285697E-2</v>
      </c>
      <c r="E54" s="145">
        <f ca="1">IFERROR(__xludf.DUMMYFUNCTION("""COMPUTED_VALUE"""),0.085625)</f>
        <v>8.5625000000000007E-2</v>
      </c>
      <c r="F54" s="145">
        <f ca="1">IFERROR(__xludf.DUMMYFUNCTION("""COMPUTED_VALUE"""),0.0384615384615384)</f>
        <v>3.8461538461538401E-2</v>
      </c>
      <c r="G54" s="145"/>
      <c r="H54" s="145"/>
      <c r="I54" s="145"/>
      <c r="J54" s="1"/>
    </row>
    <row r="55" spans="1:10" ht="13.2" x14ac:dyDescent="0.25">
      <c r="A55" s="1"/>
      <c r="B55" s="144" t="str">
        <f ca="1">IFERROR(__xludf.DUMMYFUNCTION("""COMPUTED_VALUE"""),"G06")</f>
        <v>G06</v>
      </c>
      <c r="C55" s="145"/>
      <c r="D55" s="145"/>
      <c r="E55" s="145"/>
      <c r="F55" s="145"/>
      <c r="G55" s="145"/>
      <c r="H55" s="145"/>
      <c r="I55" s="145"/>
      <c r="J55" s="1"/>
    </row>
    <row r="56" spans="1:10" ht="13.2" x14ac:dyDescent="0.25">
      <c r="A56" s="1"/>
      <c r="B56" s="144" t="str">
        <f ca="1">IFERROR(__xludf.DUMMYFUNCTION("""COMPUTED_VALUE"""),"G07")</f>
        <v>G07</v>
      </c>
      <c r="C56" s="145"/>
      <c r="D56" s="145"/>
      <c r="E56" s="145"/>
      <c r="F56" s="145"/>
      <c r="G56" s="145"/>
      <c r="H56" s="145"/>
      <c r="I56" s="145"/>
      <c r="J56" s="1"/>
    </row>
    <row r="57" spans="1:10" ht="13.2" x14ac:dyDescent="0.25">
      <c r="A57" s="1"/>
      <c r="B57" s="144" t="str">
        <f ca="1">IFERROR(__xludf.DUMMYFUNCTION("""COMPUTED_VALUE"""),"G08")</f>
        <v>G08</v>
      </c>
      <c r="C57" s="145"/>
      <c r="D57" s="145"/>
      <c r="E57" s="145"/>
      <c r="F57" s="145"/>
      <c r="G57" s="145"/>
      <c r="H57" s="145"/>
      <c r="I57" s="145"/>
      <c r="J57" s="1"/>
    </row>
    <row r="58" spans="1:10" ht="13.2" x14ac:dyDescent="0.25">
      <c r="A58" s="1"/>
      <c r="B58" s="144" t="str">
        <f ca="1">IFERROR(__xludf.DUMMYFUNCTION("""COMPUTED_VALUE"""),"G09")</f>
        <v>G09</v>
      </c>
      <c r="C58" s="145"/>
      <c r="D58" s="145"/>
      <c r="E58" s="145"/>
      <c r="F58" s="145"/>
      <c r="G58" s="145"/>
      <c r="H58" s="145"/>
      <c r="I58" s="145"/>
      <c r="J58" s="1"/>
    </row>
    <row r="59" spans="1:10" ht="13.2" x14ac:dyDescent="0.25">
      <c r="A59" s="1"/>
      <c r="B59" s="144" t="str">
        <f ca="1">IFERROR(__xludf.DUMMYFUNCTION("""COMPUTED_VALUE"""),"G10")</f>
        <v>G10</v>
      </c>
      <c r="C59" s="145"/>
      <c r="D59" s="145"/>
      <c r="E59" s="145"/>
      <c r="F59" s="145"/>
      <c r="G59" s="145"/>
      <c r="H59" s="145"/>
      <c r="I59" s="145"/>
      <c r="J59" s="1"/>
    </row>
    <row r="60" spans="1:10" ht="13.2" x14ac:dyDescent="0.25">
      <c r="A60" s="1"/>
      <c r="B60" s="144" t="str">
        <f ca="1">IFERROR(__xludf.DUMMYFUNCTION("""COMPUTED_VALUE"""),"G11")</f>
        <v>G11</v>
      </c>
      <c r="C60" s="145"/>
      <c r="D60" s="145"/>
      <c r="E60" s="145"/>
      <c r="F60" s="145"/>
      <c r="G60" s="145"/>
      <c r="H60" s="145"/>
      <c r="I60" s="145"/>
      <c r="J60" s="1"/>
    </row>
    <row r="61" spans="1:10" ht="13.2" x14ac:dyDescent="0.25">
      <c r="A61" s="1"/>
      <c r="B61" s="144" t="str">
        <f ca="1">IFERROR(__xludf.DUMMYFUNCTION("""COMPUTED_VALUE"""),"G12")</f>
        <v>G12</v>
      </c>
      <c r="C61" s="145"/>
      <c r="D61" s="145"/>
      <c r="E61" s="145"/>
      <c r="F61" s="145"/>
      <c r="G61" s="145"/>
      <c r="H61" s="145"/>
      <c r="I61" s="145"/>
      <c r="J61" s="1"/>
    </row>
    <row r="62" spans="1:10" ht="13.2" x14ac:dyDescent="0.25">
      <c r="A62" s="1"/>
      <c r="B62" s="144" t="str">
        <f ca="1">IFERROR(__xludf.DUMMYFUNCTION("""COMPUTED_VALUE"""),"G13")</f>
        <v>G13</v>
      </c>
      <c r="C62" s="145"/>
      <c r="D62" s="145"/>
      <c r="E62" s="145"/>
      <c r="F62" s="145"/>
      <c r="G62" s="145"/>
      <c r="H62" s="145"/>
      <c r="I62" s="145"/>
      <c r="J62" s="1"/>
    </row>
    <row r="63" spans="1:10" ht="13.2" x14ac:dyDescent="0.25">
      <c r="A63" s="1"/>
      <c r="B63" s="144" t="str">
        <f ca="1">IFERROR(__xludf.DUMMYFUNCTION("""COMPUTED_VALUE"""),"G14")</f>
        <v>G14</v>
      </c>
      <c r="C63" s="145"/>
      <c r="D63" s="145"/>
      <c r="E63" s="145"/>
      <c r="F63" s="145"/>
      <c r="G63" s="145"/>
      <c r="H63" s="145"/>
      <c r="I63" s="145"/>
      <c r="J63" s="1"/>
    </row>
    <row r="64" spans="1:10" ht="13.2" x14ac:dyDescent="0.25">
      <c r="A64" s="1"/>
      <c r="B64" s="160" t="str">
        <f ca="1">IFERROR(__xludf.DUMMYFUNCTION("""COMPUTED_VALUE"""),"G15")</f>
        <v>G15</v>
      </c>
      <c r="C64" s="145"/>
      <c r="D64" s="145"/>
      <c r="E64" s="145"/>
      <c r="F64" s="145"/>
      <c r="G64" s="145"/>
      <c r="H64" s="145"/>
      <c r="I64" s="145"/>
      <c r="J64" s="1"/>
    </row>
    <row r="65" spans="1:10" ht="21" customHeight="1" x14ac:dyDescent="0.25">
      <c r="A65" s="1"/>
      <c r="B65" s="157" t="str">
        <f ca="1">IFERROR(__xludf.DUMMYFUNCTION("""COMPUTED_VALUE"""),"Student Group")</f>
        <v>Student Group</v>
      </c>
      <c r="C65" s="161" t="str">
        <f ca="1">IFERROR(__xludf.DUMMYFUNCTION("""COMPUTED_VALUE"""),"  Station 7")</f>
        <v xml:space="preserve">  Station 7</v>
      </c>
      <c r="D65" s="161" t="str">
        <f ca="1">IFERROR(__xludf.DUMMYFUNCTION("""COMPUTED_VALUE"""),"  Station 8")</f>
        <v xml:space="preserve">  Station 8</v>
      </c>
      <c r="E65" s="161" t="str">
        <f ca="1">IFERROR(__xludf.DUMMYFUNCTION("""COMPUTED_VALUE"""),"  Station 9")</f>
        <v xml:space="preserve">  Station 9</v>
      </c>
      <c r="F65" s="161" t="str">
        <f ca="1">IFERROR(__xludf.DUMMYFUNCTION("""COMPUTED_VALUE"""),"  Station 10")</f>
        <v xml:space="preserve">  Station 10</v>
      </c>
      <c r="G65" s="161" t="str">
        <f ca="1">IFERROR(__xludf.DUMMYFUNCTION("""COMPUTED_VALUE"""),"  Station 11")</f>
        <v xml:space="preserve">  Station 11</v>
      </c>
      <c r="H65" s="161" t="str">
        <f ca="1">IFERROR(__xludf.DUMMYFUNCTION("""COMPUTED_VALUE"""),"  Station 12")</f>
        <v xml:space="preserve">  Station 12</v>
      </c>
      <c r="I65" s="162" t="str">
        <f ca="1">IFERROR(__xludf.DUMMYFUNCTION("""COMPUTED_VALUE"""),"  Station 13")</f>
        <v xml:space="preserve">  Station 13</v>
      </c>
      <c r="J65" s="1"/>
    </row>
    <row r="66" spans="1:10" ht="21" hidden="1" customHeight="1" x14ac:dyDescent="0.25">
      <c r="A66" s="1"/>
      <c r="B66" s="157" t="str">
        <f ca="1">IFERROR(__xludf.DUMMYFUNCTION("""COMPUTED_VALUE"""),"Student Group")</f>
        <v>Student Group</v>
      </c>
      <c r="C66" s="161" t="str">
        <f ca="1">IFERROR(__xludf.DUMMYFUNCTION("""COMPUTED_VALUE"""),"07. Station")</f>
        <v>07. Station</v>
      </c>
      <c r="D66" s="161" t="str">
        <f ca="1">IFERROR(__xludf.DUMMYFUNCTION("""COMPUTED_VALUE"""),"08. Station")</f>
        <v>08. Station</v>
      </c>
      <c r="E66" s="161" t="str">
        <f ca="1">IFERROR(__xludf.DUMMYFUNCTION("""COMPUTED_VALUE"""),"09. Station")</f>
        <v>09. Station</v>
      </c>
      <c r="F66" s="161" t="str">
        <f ca="1">IFERROR(__xludf.DUMMYFUNCTION("""COMPUTED_VALUE"""),"10. Station")</f>
        <v>10. Station</v>
      </c>
      <c r="G66" s="161" t="str">
        <f ca="1">IFERROR(__xludf.DUMMYFUNCTION("""COMPUTED_VALUE"""),"11. Station")</f>
        <v>11. Station</v>
      </c>
      <c r="H66" s="161" t="str">
        <f ca="1">IFERROR(__xludf.DUMMYFUNCTION("""COMPUTED_VALUE"""),"12. Station")</f>
        <v>12. Station</v>
      </c>
      <c r="I66" s="162" t="str">
        <f ca="1">IFERROR(__xludf.DUMMYFUNCTION("""COMPUTED_VALUE"""),"13. Station")</f>
        <v>13. Station</v>
      </c>
      <c r="J66" s="1"/>
    </row>
    <row r="67" spans="1:10" ht="13.2" x14ac:dyDescent="0.25">
      <c r="A67" s="1"/>
      <c r="B67" s="144" t="str">
        <f ca="1">IFERROR(__xludf.DUMMYFUNCTION("""COMPUTED_VALUE"""),"G01")</f>
        <v>G01</v>
      </c>
      <c r="C67" s="145">
        <f ca="1">IFERROR(__xludf.DUMMYFUNCTION("""COMPUTED_VALUE"""),0.0723333333333333)</f>
        <v>7.2333333333333305E-2</v>
      </c>
      <c r="D67" s="145">
        <f ca="1">IFERROR(__xludf.DUMMYFUNCTION("""COMPUTED_VALUE"""),0.0592857142857143)</f>
        <v>5.9285714285714303E-2</v>
      </c>
      <c r="E67" s="145">
        <f ca="1">IFERROR(__xludf.DUMMYFUNCTION("""COMPUTED_VALUE"""),0.08984375)</f>
        <v>8.984375E-2</v>
      </c>
      <c r="F67" s="145">
        <f ca="1">IFERROR(__xludf.DUMMYFUNCTION("""COMPUTED_VALUE"""),0.0519230769230769)</f>
        <v>5.1923076923076898E-2</v>
      </c>
      <c r="G67" s="145"/>
      <c r="H67" s="145"/>
      <c r="I67" s="145"/>
      <c r="J67" s="1"/>
    </row>
    <row r="68" spans="1:10" ht="13.2" x14ac:dyDescent="0.25">
      <c r="A68" s="1"/>
      <c r="B68" s="144" t="str">
        <f ca="1">IFERROR(__xludf.DUMMYFUNCTION("""COMPUTED_VALUE"""),"G02")</f>
        <v>G02</v>
      </c>
      <c r="C68" s="145">
        <f ca="1">IFERROR(__xludf.DUMMYFUNCTION("""COMPUTED_VALUE"""),0.0803636363636363)</f>
        <v>8.0363636363636304E-2</v>
      </c>
      <c r="D68" s="145">
        <f ca="1">IFERROR(__xludf.DUMMYFUNCTION("""COMPUTED_VALUE"""),0.0597402597402597)</f>
        <v>5.9740259740259698E-2</v>
      </c>
      <c r="E68" s="145">
        <f ca="1">IFERROR(__xludf.DUMMYFUNCTION("""COMPUTED_VALUE"""),0.0875)</f>
        <v>8.7499999999999994E-2</v>
      </c>
      <c r="F68" s="145">
        <f ca="1">IFERROR(__xludf.DUMMYFUNCTION("""COMPUTED_VALUE"""),0.0461538461538461)</f>
        <v>4.6153846153846101E-2</v>
      </c>
      <c r="G68" s="145"/>
      <c r="H68" s="145"/>
      <c r="I68" s="145"/>
      <c r="J68" s="1"/>
    </row>
    <row r="69" spans="1:10" ht="13.2" x14ac:dyDescent="0.25">
      <c r="A69" s="1"/>
      <c r="B69" s="144" t="str">
        <f ca="1">IFERROR(__xludf.DUMMYFUNCTION("""COMPUTED_VALUE"""),"G03")</f>
        <v>G03</v>
      </c>
      <c r="C69" s="145">
        <f ca="1">IFERROR(__xludf.DUMMYFUNCTION("""COMPUTED_VALUE"""),0.0836)</f>
        <v>8.3599999999999994E-2</v>
      </c>
      <c r="D69" s="145">
        <f ca="1">IFERROR(__xludf.DUMMYFUNCTION("""COMPUTED_VALUE"""),0.0651428571428571)</f>
        <v>6.51428571428571E-2</v>
      </c>
      <c r="E69" s="145">
        <f ca="1">IFERROR(__xludf.DUMMYFUNCTION("""COMPUTED_VALUE"""),0.085)</f>
        <v>8.5000000000000006E-2</v>
      </c>
      <c r="F69" s="145">
        <f ca="1">IFERROR(__xludf.DUMMYFUNCTION("""COMPUTED_VALUE"""),0.04)</f>
        <v>0.04</v>
      </c>
      <c r="G69" s="145"/>
      <c r="H69" s="145"/>
      <c r="I69" s="145"/>
      <c r="J69" s="1"/>
    </row>
    <row r="70" spans="1:10" ht="13.2" x14ac:dyDescent="0.25">
      <c r="A70" s="1"/>
      <c r="B70" s="144" t="str">
        <f ca="1">IFERROR(__xludf.DUMMYFUNCTION("""COMPUTED_VALUE"""),"G04")</f>
        <v>G04</v>
      </c>
      <c r="C70" s="145">
        <f ca="1">IFERROR(__xludf.DUMMYFUNCTION("""COMPUTED_VALUE"""),0.072)</f>
        <v>7.1999999999999995E-2</v>
      </c>
      <c r="D70" s="145">
        <f ca="1">IFERROR(__xludf.DUMMYFUNCTION("""COMPUTED_VALUE"""),0.0617142857142857)</f>
        <v>6.1714285714285701E-2</v>
      </c>
      <c r="E70" s="145">
        <f ca="1">IFERROR(__xludf.DUMMYFUNCTION("""COMPUTED_VALUE"""),0.0859375)</f>
        <v>8.59375E-2</v>
      </c>
      <c r="F70" s="145">
        <f ca="1">IFERROR(__xludf.DUMMYFUNCTION("""COMPUTED_VALUE"""),0.0269230769230769)</f>
        <v>2.69230769230769E-2</v>
      </c>
      <c r="G70" s="145"/>
      <c r="H70" s="145"/>
      <c r="I70" s="145"/>
      <c r="J70" s="1"/>
    </row>
    <row r="71" spans="1:10" ht="13.2" x14ac:dyDescent="0.25">
      <c r="A71" s="1"/>
      <c r="B71" s="144" t="str">
        <f ca="1">IFERROR(__xludf.DUMMYFUNCTION("""COMPUTED_VALUE"""),"G05")</f>
        <v>G05</v>
      </c>
      <c r="C71" s="145">
        <f ca="1">IFERROR(__xludf.DUMMYFUNCTION("""COMPUTED_VALUE"""),0.0752)</f>
        <v>7.5200000000000003E-2</v>
      </c>
      <c r="D71" s="145">
        <f ca="1">IFERROR(__xludf.DUMMYFUNCTION("""COMPUTED_VALUE"""),0.0577142857142857)</f>
        <v>5.7714285714285697E-2</v>
      </c>
      <c r="E71" s="145">
        <f ca="1">IFERROR(__xludf.DUMMYFUNCTION("""COMPUTED_VALUE"""),0.085625)</f>
        <v>8.5625000000000007E-2</v>
      </c>
      <c r="F71" s="145">
        <f ca="1">IFERROR(__xludf.DUMMYFUNCTION("""COMPUTED_VALUE"""),0.0384615384615384)</f>
        <v>3.8461538461538401E-2</v>
      </c>
      <c r="G71" s="145"/>
      <c r="H71" s="145"/>
      <c r="I71" s="145"/>
      <c r="J71" s="1"/>
    </row>
    <row r="72" spans="1:10" ht="13.2" x14ac:dyDescent="0.25">
      <c r="A72" s="1"/>
      <c r="B72" s="144" t="str">
        <f ca="1">IFERROR(__xludf.DUMMYFUNCTION("""COMPUTED_VALUE"""),"G06")</f>
        <v>G06</v>
      </c>
      <c r="C72" s="145"/>
      <c r="D72" s="145"/>
      <c r="E72" s="145"/>
      <c r="F72" s="145"/>
      <c r="G72" s="145"/>
      <c r="H72" s="145"/>
      <c r="I72" s="145"/>
      <c r="J72" s="1"/>
    </row>
    <row r="73" spans="1:10" ht="13.2" x14ac:dyDescent="0.25">
      <c r="A73" s="1"/>
      <c r="B73" s="144" t="str">
        <f ca="1">IFERROR(__xludf.DUMMYFUNCTION("""COMPUTED_VALUE"""),"G07")</f>
        <v>G07</v>
      </c>
      <c r="C73" s="145"/>
      <c r="D73" s="145"/>
      <c r="E73" s="145"/>
      <c r="F73" s="145"/>
      <c r="G73" s="145"/>
      <c r="H73" s="145"/>
      <c r="I73" s="145"/>
      <c r="J73" s="1"/>
    </row>
    <row r="74" spans="1:10" ht="13.2" x14ac:dyDescent="0.25">
      <c r="A74" s="1"/>
      <c r="B74" s="144" t="str">
        <f ca="1">IFERROR(__xludf.DUMMYFUNCTION("""COMPUTED_VALUE"""),"G08")</f>
        <v>G08</v>
      </c>
      <c r="C74" s="145"/>
      <c r="D74" s="145"/>
      <c r="E74" s="145"/>
      <c r="F74" s="145"/>
      <c r="G74" s="145"/>
      <c r="H74" s="145"/>
      <c r="I74" s="145"/>
      <c r="J74" s="1"/>
    </row>
    <row r="75" spans="1:10" ht="13.2" x14ac:dyDescent="0.25">
      <c r="A75" s="1"/>
      <c r="B75" s="144" t="str">
        <f ca="1">IFERROR(__xludf.DUMMYFUNCTION("""COMPUTED_VALUE"""),"G09")</f>
        <v>G09</v>
      </c>
      <c r="C75" s="145"/>
      <c r="D75" s="145"/>
      <c r="E75" s="145"/>
      <c r="F75" s="145"/>
      <c r="G75" s="145"/>
      <c r="H75" s="145"/>
      <c r="I75" s="145"/>
      <c r="J75" s="1"/>
    </row>
    <row r="76" spans="1:10" ht="13.2" x14ac:dyDescent="0.25">
      <c r="A76" s="1"/>
      <c r="B76" s="144" t="str">
        <f ca="1">IFERROR(__xludf.DUMMYFUNCTION("""COMPUTED_VALUE"""),"G10")</f>
        <v>G10</v>
      </c>
      <c r="C76" s="145"/>
      <c r="D76" s="145"/>
      <c r="E76" s="145"/>
      <c r="F76" s="145"/>
      <c r="G76" s="145"/>
      <c r="H76" s="145"/>
      <c r="I76" s="145"/>
      <c r="J76" s="1"/>
    </row>
    <row r="77" spans="1:10" ht="13.2" x14ac:dyDescent="0.25">
      <c r="A77" s="1"/>
      <c r="B77" s="144" t="str">
        <f ca="1">IFERROR(__xludf.DUMMYFUNCTION("""COMPUTED_VALUE"""),"G11")</f>
        <v>G11</v>
      </c>
      <c r="C77" s="145"/>
      <c r="D77" s="145"/>
      <c r="E77" s="145"/>
      <c r="F77" s="145"/>
      <c r="G77" s="145"/>
      <c r="H77" s="145"/>
      <c r="I77" s="145"/>
      <c r="J77" s="1"/>
    </row>
    <row r="78" spans="1:10" ht="13.2" x14ac:dyDescent="0.25">
      <c r="A78" s="1"/>
      <c r="B78" s="144" t="str">
        <f ca="1">IFERROR(__xludf.DUMMYFUNCTION("""COMPUTED_VALUE"""),"G12")</f>
        <v>G12</v>
      </c>
      <c r="C78" s="145"/>
      <c r="D78" s="145"/>
      <c r="E78" s="145"/>
      <c r="F78" s="145"/>
      <c r="G78" s="145"/>
      <c r="H78" s="145"/>
      <c r="I78" s="145"/>
      <c r="J78" s="1"/>
    </row>
    <row r="79" spans="1:10" ht="13.2" x14ac:dyDescent="0.25">
      <c r="A79" s="1"/>
      <c r="B79" s="144" t="str">
        <f ca="1">IFERROR(__xludf.DUMMYFUNCTION("""COMPUTED_VALUE"""),"G13")</f>
        <v>G13</v>
      </c>
      <c r="C79" s="145"/>
      <c r="D79" s="145"/>
      <c r="E79" s="145"/>
      <c r="F79" s="145"/>
      <c r="G79" s="145"/>
      <c r="H79" s="145"/>
      <c r="I79" s="145"/>
      <c r="J79" s="1"/>
    </row>
    <row r="80" spans="1:10" ht="13.2" x14ac:dyDescent="0.25">
      <c r="A80" s="1"/>
      <c r="B80" s="144" t="str">
        <f ca="1">IFERROR(__xludf.DUMMYFUNCTION("""COMPUTED_VALUE"""),"G14")</f>
        <v>G14</v>
      </c>
      <c r="C80" s="145"/>
      <c r="D80" s="145"/>
      <c r="E80" s="145"/>
      <c r="F80" s="145"/>
      <c r="G80" s="145"/>
      <c r="H80" s="145"/>
      <c r="I80" s="145"/>
      <c r="J80" s="1"/>
    </row>
    <row r="81" spans="1:10" ht="13.2" x14ac:dyDescent="0.25">
      <c r="A81" s="1"/>
      <c r="B81" s="163" t="str">
        <f ca="1">IFERROR(__xludf.DUMMYFUNCTION("""COMPUTED_VALUE"""),"G15")</f>
        <v>G15</v>
      </c>
      <c r="C81" s="145"/>
      <c r="D81" s="145"/>
      <c r="E81" s="145"/>
      <c r="F81" s="145"/>
      <c r="G81" s="145"/>
      <c r="H81" s="145"/>
      <c r="I81" s="145"/>
      <c r="J81" s="1"/>
    </row>
    <row r="82" spans="1:10" ht="13.2" x14ac:dyDescent="0.25">
      <c r="A82" s="1"/>
      <c r="B82" s="157" t="str">
        <f ca="1">IFERROR(__xludf.DUMMYFUNCTION("""COMPUTED_VALUE"""),"Student Group")</f>
        <v>Student Group</v>
      </c>
      <c r="C82" s="161" t="str">
        <f ca="1">IFERROR(__xludf.DUMMYFUNCTION("""COMPUTED_VALUE"""),"  Station 14")</f>
        <v xml:space="preserve">  Station 14</v>
      </c>
      <c r="D82" s="161" t="str">
        <f ca="1">IFERROR(__xludf.DUMMYFUNCTION("""COMPUTED_VALUE"""),"  Station 15")</f>
        <v xml:space="preserve">  Station 15</v>
      </c>
      <c r="E82" s="161" t="str">
        <f ca="1">IFERROR(__xludf.DUMMYFUNCTION("""COMPUTED_VALUE"""),"  Station 16")</f>
        <v xml:space="preserve">  Station 16</v>
      </c>
      <c r="F82" s="161"/>
      <c r="G82" s="161"/>
      <c r="H82" s="161"/>
      <c r="I82" s="162"/>
      <c r="J82" s="1"/>
    </row>
    <row r="83" spans="1:10" ht="13.2" hidden="1" x14ac:dyDescent="0.25">
      <c r="A83" s="1"/>
      <c r="B83" s="157" t="str">
        <f ca="1">IFERROR(__xludf.DUMMYFUNCTION("""COMPUTED_VALUE"""),"Student Group")</f>
        <v>Student Group</v>
      </c>
      <c r="C83" s="161" t="str">
        <f ca="1">IFERROR(__xludf.DUMMYFUNCTION("""COMPUTED_VALUE"""),"14. Station")</f>
        <v>14. Station</v>
      </c>
      <c r="D83" s="161" t="str">
        <f ca="1">IFERROR(__xludf.DUMMYFUNCTION("""COMPUTED_VALUE"""),"15. Station")</f>
        <v>15. Station</v>
      </c>
      <c r="E83" s="161" t="str">
        <f ca="1">IFERROR(__xludf.DUMMYFUNCTION("""COMPUTED_VALUE"""),"16. Station")</f>
        <v>16. Station</v>
      </c>
      <c r="F83" s="161"/>
      <c r="G83" s="161"/>
      <c r="H83" s="161"/>
      <c r="I83" s="162"/>
      <c r="J83" s="1"/>
    </row>
    <row r="84" spans="1:10" ht="13.2" x14ac:dyDescent="0.25">
      <c r="A84" s="1"/>
      <c r="B84" s="144" t="str">
        <f ca="1">IFERROR(__xludf.DUMMYFUNCTION("""COMPUTED_VALUE"""),"G01")</f>
        <v>G01</v>
      </c>
      <c r="C84" s="145">
        <f ca="1">IFERROR(__xludf.DUMMYFUNCTION("""COMPUTED_VALUE"""),0.0723333333333333)</f>
        <v>7.2333333333333305E-2</v>
      </c>
      <c r="D84" s="145">
        <f ca="1">IFERROR(__xludf.DUMMYFUNCTION("""COMPUTED_VALUE"""),0.0592857142857143)</f>
        <v>5.9285714285714303E-2</v>
      </c>
      <c r="E84" s="145">
        <f ca="1">IFERROR(__xludf.DUMMYFUNCTION("""COMPUTED_VALUE"""),0.08984375)</f>
        <v>8.984375E-2</v>
      </c>
      <c r="F84" s="145">
        <f ca="1">IFERROR(__xludf.DUMMYFUNCTION("""COMPUTED_VALUE"""),0.0519230769230769)</f>
        <v>5.1923076923076898E-2</v>
      </c>
      <c r="G84" s="145"/>
      <c r="H84" s="145"/>
      <c r="I84" s="145"/>
      <c r="J84" s="1"/>
    </row>
    <row r="85" spans="1:10" ht="13.2" x14ac:dyDescent="0.25">
      <c r="A85" s="1"/>
      <c r="B85" s="144" t="str">
        <f ca="1">IFERROR(__xludf.DUMMYFUNCTION("""COMPUTED_VALUE"""),"G02")</f>
        <v>G02</v>
      </c>
      <c r="C85" s="145">
        <f ca="1">IFERROR(__xludf.DUMMYFUNCTION("""COMPUTED_VALUE"""),0.0803636363636363)</f>
        <v>8.0363636363636304E-2</v>
      </c>
      <c r="D85" s="145">
        <f ca="1">IFERROR(__xludf.DUMMYFUNCTION("""COMPUTED_VALUE"""),0.0597402597402597)</f>
        <v>5.9740259740259698E-2</v>
      </c>
      <c r="E85" s="145">
        <f ca="1">IFERROR(__xludf.DUMMYFUNCTION("""COMPUTED_VALUE"""),0.0875)</f>
        <v>8.7499999999999994E-2</v>
      </c>
      <c r="F85" s="145">
        <f ca="1">IFERROR(__xludf.DUMMYFUNCTION("""COMPUTED_VALUE"""),0.0461538461538461)</f>
        <v>4.6153846153846101E-2</v>
      </c>
      <c r="G85" s="145"/>
      <c r="H85" s="145"/>
      <c r="I85" s="145"/>
      <c r="J85" s="1"/>
    </row>
    <row r="86" spans="1:10" ht="13.2" x14ac:dyDescent="0.25">
      <c r="A86" s="1"/>
      <c r="B86" s="144" t="str">
        <f ca="1">IFERROR(__xludf.DUMMYFUNCTION("""COMPUTED_VALUE"""),"G03")</f>
        <v>G03</v>
      </c>
      <c r="C86" s="145">
        <f ca="1">IFERROR(__xludf.DUMMYFUNCTION("""COMPUTED_VALUE"""),0.0836)</f>
        <v>8.3599999999999994E-2</v>
      </c>
      <c r="D86" s="145">
        <f ca="1">IFERROR(__xludf.DUMMYFUNCTION("""COMPUTED_VALUE"""),0.0651428571428571)</f>
        <v>6.51428571428571E-2</v>
      </c>
      <c r="E86" s="145">
        <f ca="1">IFERROR(__xludf.DUMMYFUNCTION("""COMPUTED_VALUE"""),0.085)</f>
        <v>8.5000000000000006E-2</v>
      </c>
      <c r="F86" s="145">
        <f ca="1">IFERROR(__xludf.DUMMYFUNCTION("""COMPUTED_VALUE"""),0.04)</f>
        <v>0.04</v>
      </c>
      <c r="G86" s="145"/>
      <c r="H86" s="145"/>
      <c r="I86" s="145"/>
      <c r="J86" s="1"/>
    </row>
    <row r="87" spans="1:10" ht="13.2" x14ac:dyDescent="0.25">
      <c r="A87" s="1"/>
      <c r="B87" s="144" t="str">
        <f ca="1">IFERROR(__xludf.DUMMYFUNCTION("""COMPUTED_VALUE"""),"G04")</f>
        <v>G04</v>
      </c>
      <c r="C87" s="145">
        <f ca="1">IFERROR(__xludf.DUMMYFUNCTION("""COMPUTED_VALUE"""),0.072)</f>
        <v>7.1999999999999995E-2</v>
      </c>
      <c r="D87" s="145">
        <f ca="1">IFERROR(__xludf.DUMMYFUNCTION("""COMPUTED_VALUE"""),0.0617142857142857)</f>
        <v>6.1714285714285701E-2</v>
      </c>
      <c r="E87" s="145">
        <f ca="1">IFERROR(__xludf.DUMMYFUNCTION("""COMPUTED_VALUE"""),0.0859375)</f>
        <v>8.59375E-2</v>
      </c>
      <c r="F87" s="145">
        <f ca="1">IFERROR(__xludf.DUMMYFUNCTION("""COMPUTED_VALUE"""),0.0269230769230769)</f>
        <v>2.69230769230769E-2</v>
      </c>
      <c r="G87" s="145"/>
      <c r="H87" s="145"/>
      <c r="I87" s="145"/>
      <c r="J87" s="1"/>
    </row>
    <row r="88" spans="1:10" ht="13.2" x14ac:dyDescent="0.25">
      <c r="A88" s="1"/>
      <c r="B88" s="144" t="str">
        <f ca="1">IFERROR(__xludf.DUMMYFUNCTION("""COMPUTED_VALUE"""),"G05")</f>
        <v>G05</v>
      </c>
      <c r="C88" s="145">
        <f ca="1">IFERROR(__xludf.DUMMYFUNCTION("""COMPUTED_VALUE"""),0.0752)</f>
        <v>7.5200000000000003E-2</v>
      </c>
      <c r="D88" s="145">
        <f ca="1">IFERROR(__xludf.DUMMYFUNCTION("""COMPUTED_VALUE"""),0.0577142857142857)</f>
        <v>5.7714285714285697E-2</v>
      </c>
      <c r="E88" s="145">
        <f ca="1">IFERROR(__xludf.DUMMYFUNCTION("""COMPUTED_VALUE"""),0.085625)</f>
        <v>8.5625000000000007E-2</v>
      </c>
      <c r="F88" s="145">
        <f ca="1">IFERROR(__xludf.DUMMYFUNCTION("""COMPUTED_VALUE"""),0.0384615384615384)</f>
        <v>3.8461538461538401E-2</v>
      </c>
      <c r="G88" s="145"/>
      <c r="H88" s="145"/>
      <c r="I88" s="145"/>
      <c r="J88" s="1"/>
    </row>
    <row r="89" spans="1:10" ht="13.2" x14ac:dyDescent="0.25">
      <c r="A89" s="1"/>
      <c r="B89" s="144" t="str">
        <f ca="1">IFERROR(__xludf.DUMMYFUNCTION("""COMPUTED_VALUE"""),"G06")</f>
        <v>G06</v>
      </c>
      <c r="C89" s="145"/>
      <c r="D89" s="145"/>
      <c r="E89" s="145"/>
      <c r="F89" s="145"/>
      <c r="G89" s="145"/>
      <c r="H89" s="145"/>
      <c r="I89" s="145"/>
      <c r="J89" s="1"/>
    </row>
    <row r="90" spans="1:10" ht="13.2" x14ac:dyDescent="0.25">
      <c r="A90" s="1"/>
      <c r="B90" s="144" t="str">
        <f ca="1">IFERROR(__xludf.DUMMYFUNCTION("""COMPUTED_VALUE"""),"G07")</f>
        <v>G07</v>
      </c>
      <c r="C90" s="145"/>
      <c r="D90" s="145"/>
      <c r="E90" s="145"/>
      <c r="F90" s="145"/>
      <c r="G90" s="145"/>
      <c r="H90" s="145"/>
      <c r="I90" s="145"/>
      <c r="J90" s="1"/>
    </row>
    <row r="91" spans="1:10" ht="13.2" x14ac:dyDescent="0.25">
      <c r="A91" s="1"/>
      <c r="B91" s="144" t="str">
        <f ca="1">IFERROR(__xludf.DUMMYFUNCTION("""COMPUTED_VALUE"""),"G08")</f>
        <v>G08</v>
      </c>
      <c r="C91" s="145"/>
      <c r="D91" s="145"/>
      <c r="E91" s="145"/>
      <c r="F91" s="145"/>
      <c r="G91" s="145"/>
      <c r="H91" s="145"/>
      <c r="I91" s="145"/>
      <c r="J91" s="1"/>
    </row>
    <row r="92" spans="1:10" ht="13.2" x14ac:dyDescent="0.25">
      <c r="A92" s="1"/>
      <c r="B92" s="144" t="str">
        <f ca="1">IFERROR(__xludf.DUMMYFUNCTION("""COMPUTED_VALUE"""),"G09")</f>
        <v>G09</v>
      </c>
      <c r="C92" s="145"/>
      <c r="D92" s="145"/>
      <c r="E92" s="145"/>
      <c r="F92" s="145"/>
      <c r="G92" s="145"/>
      <c r="H92" s="145"/>
      <c r="I92" s="145"/>
      <c r="J92" s="1"/>
    </row>
    <row r="93" spans="1:10" ht="13.2" x14ac:dyDescent="0.25">
      <c r="A93" s="1"/>
      <c r="B93" s="144" t="str">
        <f ca="1">IFERROR(__xludf.DUMMYFUNCTION("""COMPUTED_VALUE"""),"G10")</f>
        <v>G10</v>
      </c>
      <c r="C93" s="145"/>
      <c r="D93" s="145"/>
      <c r="E93" s="145"/>
      <c r="F93" s="145"/>
      <c r="G93" s="145"/>
      <c r="H93" s="145"/>
      <c r="I93" s="145"/>
      <c r="J93" s="1"/>
    </row>
    <row r="94" spans="1:10" ht="13.2" x14ac:dyDescent="0.25">
      <c r="A94" s="1"/>
      <c r="B94" s="144" t="str">
        <f ca="1">IFERROR(__xludf.DUMMYFUNCTION("""COMPUTED_VALUE"""),"G11")</f>
        <v>G11</v>
      </c>
      <c r="C94" s="145"/>
      <c r="D94" s="145"/>
      <c r="E94" s="145"/>
      <c r="F94" s="145"/>
      <c r="G94" s="145"/>
      <c r="H94" s="145"/>
      <c r="I94" s="145"/>
      <c r="J94" s="1"/>
    </row>
    <row r="95" spans="1:10" ht="13.2" x14ac:dyDescent="0.25">
      <c r="A95" s="1"/>
      <c r="B95" s="144" t="str">
        <f ca="1">IFERROR(__xludf.DUMMYFUNCTION("""COMPUTED_VALUE"""),"G12")</f>
        <v>G12</v>
      </c>
      <c r="C95" s="145"/>
      <c r="D95" s="145"/>
      <c r="E95" s="145"/>
      <c r="F95" s="145"/>
      <c r="G95" s="145"/>
      <c r="H95" s="145"/>
      <c r="I95" s="145"/>
      <c r="J95" s="1"/>
    </row>
    <row r="96" spans="1:10" ht="13.2" x14ac:dyDescent="0.25">
      <c r="A96" s="1"/>
      <c r="B96" s="144" t="str">
        <f ca="1">IFERROR(__xludf.DUMMYFUNCTION("""COMPUTED_VALUE"""),"G13")</f>
        <v>G13</v>
      </c>
      <c r="C96" s="145"/>
      <c r="D96" s="145"/>
      <c r="E96" s="145"/>
      <c r="F96" s="145"/>
      <c r="G96" s="145"/>
      <c r="H96" s="145"/>
      <c r="I96" s="145"/>
      <c r="J96" s="1"/>
    </row>
    <row r="97" spans="1:10" ht="13.2" x14ac:dyDescent="0.25">
      <c r="A97" s="1"/>
      <c r="B97" s="144" t="str">
        <f ca="1">IFERROR(__xludf.DUMMYFUNCTION("""COMPUTED_VALUE"""),"G14")</f>
        <v>G14</v>
      </c>
      <c r="C97" s="145"/>
      <c r="D97" s="145"/>
      <c r="E97" s="145"/>
      <c r="F97" s="145"/>
      <c r="G97" s="145"/>
      <c r="H97" s="145"/>
      <c r="I97" s="145"/>
      <c r="J97" s="1"/>
    </row>
    <row r="98" spans="1:10" ht="13.2" x14ac:dyDescent="0.25">
      <c r="A98" s="1"/>
      <c r="B98" s="163" t="str">
        <f ca="1">IFERROR(__xludf.DUMMYFUNCTION("""COMPUTED_VALUE"""),"G15")</f>
        <v>G15</v>
      </c>
      <c r="C98" s="145"/>
      <c r="D98" s="145"/>
      <c r="E98" s="145"/>
      <c r="F98" s="145"/>
      <c r="G98" s="145"/>
      <c r="H98" s="145"/>
      <c r="I98" s="145"/>
      <c r="J98" s="1"/>
    </row>
    <row r="99" spans="1:10" ht="13.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ht="13.2" x14ac:dyDescent="0.25">
      <c r="A100" s="1"/>
      <c r="B100" s="271" t="str">
        <f ca="1">IFERROR(__xludf.DUMMYFUNCTION("""COMPUTED_VALUE"""),"©2024 Dr. Khaled Shahat. All rights reserved.")</f>
        <v>©2024 Dr. Khaled Shahat. All rights reserved.</v>
      </c>
      <c r="C100" s="206"/>
      <c r="D100" s="206"/>
      <c r="E100" s="1"/>
      <c r="F100" s="1"/>
      <c r="G100" s="1"/>
      <c r="H100" s="1"/>
      <c r="I100" s="1"/>
      <c r="J100" s="1"/>
    </row>
    <row r="101" spans="1:10" ht="13.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ht="14.4" x14ac:dyDescent="0.25">
      <c r="A102" s="1"/>
      <c r="B102" s="272" t="str">
        <f ca="1">IFERROR(__xludf.DUMMYFUNCTION("""COMPUTED_VALUE"""),"Conclusions:  ")</f>
        <v xml:space="preserve">Conclusions:  </v>
      </c>
      <c r="C102" s="206"/>
      <c r="D102" s="206"/>
      <c r="E102" s="206"/>
      <c r="F102" s="206"/>
      <c r="G102" s="133"/>
      <c r="H102" s="1"/>
      <c r="I102" s="1"/>
      <c r="J102" s="1"/>
    </row>
    <row r="103" spans="1:10" ht="14.4" x14ac:dyDescent="0.25">
      <c r="A103" s="1"/>
      <c r="B103" s="133"/>
      <c r="C103" s="133"/>
      <c r="D103" s="133"/>
      <c r="E103" s="133"/>
      <c r="F103" s="133"/>
      <c r="G103" s="133"/>
      <c r="H103" s="1"/>
      <c r="I103" s="1"/>
      <c r="J103" s="1"/>
    </row>
    <row r="104" spans="1:10" ht="14.4" x14ac:dyDescent="0.25">
      <c r="A104" s="1"/>
      <c r="B104" s="269" t="str">
        <f ca="1">IFERROR(__xludf.DUMMYFUNCTION("""COMPUTED_VALUE"""),"1. Exam reliability: ")</f>
        <v xml:space="preserve">1. Exam reliability: </v>
      </c>
      <c r="C104" s="206"/>
      <c r="D104" s="206"/>
      <c r="E104" s="206"/>
      <c r="F104" s="206"/>
      <c r="G104" s="133"/>
      <c r="H104" s="1"/>
      <c r="I104" s="1"/>
      <c r="J104" s="1"/>
    </row>
    <row r="105" spans="1:10" ht="13.2" x14ac:dyDescent="0.25">
      <c r="A105" s="1"/>
      <c r="B105" s="270"/>
      <c r="C105" s="206"/>
      <c r="D105" s="206"/>
      <c r="E105" s="206"/>
      <c r="F105" s="206"/>
      <c r="G105" s="206"/>
      <c r="H105" s="206"/>
      <c r="I105" s="206"/>
      <c r="J105" s="1"/>
    </row>
    <row r="106" spans="1:10" ht="13.2" x14ac:dyDescent="0.25">
      <c r="A106" s="1"/>
      <c r="B106" s="206"/>
      <c r="C106" s="206"/>
      <c r="D106" s="206"/>
      <c r="E106" s="206"/>
      <c r="F106" s="206"/>
      <c r="G106" s="206"/>
      <c r="H106" s="206"/>
      <c r="I106" s="206"/>
      <c r="J106" s="1"/>
    </row>
    <row r="107" spans="1:10" ht="13.2" x14ac:dyDescent="0.25">
      <c r="A107" s="1"/>
      <c r="B107" s="206"/>
      <c r="C107" s="206"/>
      <c r="D107" s="206"/>
      <c r="E107" s="206"/>
      <c r="F107" s="206"/>
      <c r="G107" s="206"/>
      <c r="H107" s="206"/>
      <c r="I107" s="206"/>
      <c r="J107" s="1"/>
    </row>
    <row r="108" spans="1:10" ht="14.4" x14ac:dyDescent="0.25">
      <c r="A108" s="1"/>
      <c r="B108" s="133"/>
      <c r="C108" s="133"/>
      <c r="D108" s="133"/>
      <c r="E108" s="133"/>
      <c r="F108" s="133"/>
      <c r="G108" s="133"/>
      <c r="H108" s="1"/>
      <c r="I108" s="1"/>
      <c r="J108" s="1"/>
    </row>
    <row r="109" spans="1:10" ht="14.4" x14ac:dyDescent="0.25">
      <c r="A109" s="1"/>
      <c r="B109" s="269" t="str">
        <f ca="1">IFERROR(__xludf.DUMMYFUNCTION("""COMPUTED_VALUE"""),"2. Exam discrimination:")</f>
        <v>2. Exam discrimination:</v>
      </c>
      <c r="C109" s="206"/>
      <c r="D109" s="206"/>
      <c r="E109" s="206"/>
      <c r="F109" s="206"/>
      <c r="G109" s="133"/>
      <c r="H109" s="1"/>
      <c r="I109" s="1"/>
      <c r="J109" s="1"/>
    </row>
    <row r="110" spans="1:10" ht="13.2" x14ac:dyDescent="0.25">
      <c r="A110" s="1"/>
      <c r="B110" s="270"/>
      <c r="C110" s="206"/>
      <c r="D110" s="206"/>
      <c r="E110" s="206"/>
      <c r="F110" s="206"/>
      <c r="G110" s="206"/>
      <c r="H110" s="206"/>
      <c r="I110" s="206"/>
      <c r="J110" s="1"/>
    </row>
    <row r="111" spans="1:10" ht="13.2" x14ac:dyDescent="0.25">
      <c r="A111" s="1"/>
      <c r="B111" s="206"/>
      <c r="C111" s="206"/>
      <c r="D111" s="206"/>
      <c r="E111" s="206"/>
      <c r="F111" s="206"/>
      <c r="G111" s="206"/>
      <c r="H111" s="206"/>
      <c r="I111" s="206"/>
      <c r="J111" s="1"/>
    </row>
    <row r="112" spans="1:10" ht="13.2" x14ac:dyDescent="0.25">
      <c r="A112" s="1"/>
      <c r="B112" s="206"/>
      <c r="C112" s="206"/>
      <c r="D112" s="206"/>
      <c r="E112" s="206"/>
      <c r="F112" s="206"/>
      <c r="G112" s="206"/>
      <c r="H112" s="206"/>
      <c r="I112" s="206"/>
      <c r="J112" s="1"/>
    </row>
    <row r="113" spans="1:10" ht="13.2" x14ac:dyDescent="0.25">
      <c r="A113" s="1"/>
      <c r="B113" s="206"/>
      <c r="C113" s="206"/>
      <c r="D113" s="206"/>
      <c r="E113" s="206"/>
      <c r="F113" s="206"/>
      <c r="G113" s="206"/>
      <c r="H113" s="206"/>
      <c r="I113" s="206"/>
      <c r="J113" s="1"/>
    </row>
    <row r="114" spans="1:10" ht="13.2" x14ac:dyDescent="0.25">
      <c r="A114" s="1"/>
      <c r="B114" s="206"/>
      <c r="C114" s="206"/>
      <c r="D114" s="206"/>
      <c r="E114" s="206"/>
      <c r="F114" s="206"/>
      <c r="G114" s="206"/>
      <c r="H114" s="206"/>
      <c r="I114" s="206"/>
      <c r="J114" s="1"/>
    </row>
    <row r="115" spans="1:10" ht="14.4" x14ac:dyDescent="0.25">
      <c r="A115" s="1"/>
      <c r="B115" s="133"/>
      <c r="C115" s="133"/>
      <c r="D115" s="133"/>
      <c r="E115" s="133"/>
      <c r="F115" s="133"/>
      <c r="G115" s="133"/>
      <c r="H115" s="1"/>
      <c r="I115" s="1"/>
      <c r="J115" s="1"/>
    </row>
    <row r="116" spans="1:10" ht="14.4" x14ac:dyDescent="0.25">
      <c r="A116" s="1"/>
      <c r="B116" s="269" t="str">
        <f ca="1">IFERROR(__xludf.DUMMYFUNCTION("""COMPUTED_VALUE"""),"3. Items to be deleted from students score (multi-defects OR items with negative discrimination): ")</f>
        <v xml:space="preserve">3. Items to be deleted from students score (multi-defects OR items with negative discrimination): </v>
      </c>
      <c r="C116" s="206"/>
      <c r="D116" s="206"/>
      <c r="E116" s="206"/>
      <c r="F116" s="206"/>
      <c r="G116" s="133"/>
      <c r="H116" s="1"/>
      <c r="I116" s="1"/>
      <c r="J116" s="1"/>
    </row>
    <row r="117" spans="1:10" ht="13.2" x14ac:dyDescent="0.25">
      <c r="A117" s="1"/>
      <c r="B117" s="270"/>
      <c r="C117" s="206"/>
      <c r="D117" s="206"/>
      <c r="E117" s="206"/>
      <c r="F117" s="206"/>
      <c r="G117" s="206"/>
      <c r="H117" s="206"/>
      <c r="I117" s="206"/>
      <c r="J117" s="1"/>
    </row>
    <row r="118" spans="1:10" ht="13.2" x14ac:dyDescent="0.25">
      <c r="A118" s="1"/>
      <c r="B118" s="206"/>
      <c r="C118" s="206"/>
      <c r="D118" s="206"/>
      <c r="E118" s="206"/>
      <c r="F118" s="206"/>
      <c r="G118" s="206"/>
      <c r="H118" s="206"/>
      <c r="I118" s="206"/>
      <c r="J118" s="1"/>
    </row>
    <row r="119" spans="1:10" ht="13.2" x14ac:dyDescent="0.25">
      <c r="A119" s="1"/>
      <c r="B119" s="206"/>
      <c r="C119" s="206"/>
      <c r="D119" s="206"/>
      <c r="E119" s="206"/>
      <c r="F119" s="206"/>
      <c r="G119" s="206"/>
      <c r="H119" s="206"/>
      <c r="I119" s="206"/>
      <c r="J119" s="1"/>
    </row>
    <row r="120" spans="1:10" ht="13.2" x14ac:dyDescent="0.25">
      <c r="A120" s="1"/>
      <c r="B120" s="206"/>
      <c r="C120" s="206"/>
      <c r="D120" s="206"/>
      <c r="E120" s="206"/>
      <c r="F120" s="206"/>
      <c r="G120" s="206"/>
      <c r="H120" s="206"/>
      <c r="I120" s="206"/>
      <c r="J120" s="1"/>
    </row>
    <row r="121" spans="1:10" ht="13.2" x14ac:dyDescent="0.25">
      <c r="A121" s="1"/>
      <c r="B121" s="206"/>
      <c r="C121" s="206"/>
      <c r="D121" s="206"/>
      <c r="E121" s="206"/>
      <c r="F121" s="206"/>
      <c r="G121" s="206"/>
      <c r="H121" s="206"/>
      <c r="I121" s="206"/>
      <c r="J121" s="1"/>
    </row>
    <row r="122" spans="1:10" ht="13.2" x14ac:dyDescent="0.25">
      <c r="A122" s="1"/>
      <c r="B122" s="206"/>
      <c r="C122" s="206"/>
      <c r="D122" s="206"/>
      <c r="E122" s="206"/>
      <c r="F122" s="206"/>
      <c r="G122" s="206"/>
      <c r="H122" s="206"/>
      <c r="I122" s="206"/>
      <c r="J122" s="1"/>
    </row>
    <row r="123" spans="1:10" ht="14.4" x14ac:dyDescent="0.25">
      <c r="A123" s="1"/>
      <c r="B123" s="133"/>
      <c r="C123" s="133"/>
      <c r="D123" s="133"/>
      <c r="E123" s="133"/>
      <c r="F123" s="133"/>
      <c r="G123" s="133"/>
      <c r="H123" s="1"/>
      <c r="I123" s="1"/>
      <c r="J123" s="1"/>
    </row>
    <row r="124" spans="1:10" ht="14.4" x14ac:dyDescent="0.25">
      <c r="A124" s="1"/>
      <c r="B124" s="269" t="str">
        <f ca="1">IFERROR(__xludf.DUMMYFUNCTION("""COMPUTED_VALUE"""),"4. Items to be revised in bank (in Yellow or Red zones OR those with chosen answer &gt; key answer OR with non-dysfunction): ")</f>
        <v xml:space="preserve">4. Items to be revised in bank (in Yellow or Red zones OR those with chosen answer &gt; key answer OR with non-dysfunction): </v>
      </c>
      <c r="C124" s="206"/>
      <c r="D124" s="206"/>
      <c r="E124" s="206"/>
      <c r="F124" s="206"/>
      <c r="G124" s="133"/>
      <c r="H124" s="1"/>
      <c r="I124" s="1"/>
      <c r="J124" s="1"/>
    </row>
    <row r="125" spans="1:10" ht="13.2" x14ac:dyDescent="0.25">
      <c r="A125" s="1"/>
      <c r="B125" s="270"/>
      <c r="C125" s="206"/>
      <c r="D125" s="206"/>
      <c r="E125" s="206"/>
      <c r="F125" s="206"/>
      <c r="G125" s="206"/>
      <c r="H125" s="206"/>
      <c r="I125" s="206"/>
      <c r="J125" s="1"/>
    </row>
    <row r="126" spans="1:10" ht="13.2" x14ac:dyDescent="0.25">
      <c r="A126" s="1"/>
      <c r="B126" s="206"/>
      <c r="C126" s="206"/>
      <c r="D126" s="206"/>
      <c r="E126" s="206"/>
      <c r="F126" s="206"/>
      <c r="G126" s="206"/>
      <c r="H126" s="206"/>
      <c r="I126" s="206"/>
      <c r="J126" s="1"/>
    </row>
    <row r="127" spans="1:10" ht="13.2" x14ac:dyDescent="0.25">
      <c r="A127" s="1"/>
      <c r="B127" s="206"/>
      <c r="C127" s="206"/>
      <c r="D127" s="206"/>
      <c r="E127" s="206"/>
      <c r="F127" s="206"/>
      <c r="G127" s="206"/>
      <c r="H127" s="206"/>
      <c r="I127" s="206"/>
      <c r="J127" s="1"/>
    </row>
    <row r="128" spans="1:10" ht="13.2" x14ac:dyDescent="0.25">
      <c r="A128" s="1"/>
      <c r="B128" s="206"/>
      <c r="C128" s="206"/>
      <c r="D128" s="206"/>
      <c r="E128" s="206"/>
      <c r="F128" s="206"/>
      <c r="G128" s="206"/>
      <c r="H128" s="206"/>
      <c r="I128" s="206"/>
      <c r="J128" s="1"/>
    </row>
    <row r="129" spans="1:10" ht="13.2" x14ac:dyDescent="0.25">
      <c r="A129" s="1"/>
      <c r="B129" s="206"/>
      <c r="C129" s="206"/>
      <c r="D129" s="206"/>
      <c r="E129" s="206"/>
      <c r="F129" s="206"/>
      <c r="G129" s="206"/>
      <c r="H129" s="206"/>
      <c r="I129" s="206"/>
      <c r="J129" s="1"/>
    </row>
    <row r="130" spans="1:10" ht="14.4" x14ac:dyDescent="0.25">
      <c r="A130" s="1"/>
      <c r="B130" s="133"/>
      <c r="C130" s="133"/>
      <c r="D130" s="133"/>
      <c r="E130" s="133"/>
      <c r="F130" s="133"/>
      <c r="G130" s="133"/>
      <c r="H130" s="1"/>
      <c r="I130" s="1"/>
      <c r="J130" s="1"/>
    </row>
    <row r="131" spans="1:10" ht="14.4" x14ac:dyDescent="0.25">
      <c r="A131" s="1"/>
      <c r="B131" s="269" t="str">
        <f ca="1">IFERROR(__xludf.DUMMYFUNCTION("""COMPUTED_VALUE"""),"5. Items with students objections (postexam):")</f>
        <v>5. Items with students objections (postexam):</v>
      </c>
      <c r="C131" s="206"/>
      <c r="D131" s="206"/>
      <c r="E131" s="206"/>
      <c r="F131" s="206"/>
      <c r="G131" s="133"/>
      <c r="H131" s="1"/>
      <c r="I131" s="1"/>
      <c r="J131" s="1"/>
    </row>
    <row r="132" spans="1:10" ht="13.2" x14ac:dyDescent="0.25">
      <c r="A132" s="1"/>
      <c r="B132" s="270"/>
      <c r="C132" s="206"/>
      <c r="D132" s="206"/>
      <c r="E132" s="206"/>
      <c r="F132" s="206"/>
      <c r="G132" s="206"/>
      <c r="H132" s="206"/>
      <c r="I132" s="206"/>
      <c r="J132" s="1"/>
    </row>
    <row r="133" spans="1:10" ht="13.2" x14ac:dyDescent="0.25">
      <c r="A133" s="1"/>
      <c r="B133" s="206"/>
      <c r="C133" s="206"/>
      <c r="D133" s="206"/>
      <c r="E133" s="206"/>
      <c r="F133" s="206"/>
      <c r="G133" s="206"/>
      <c r="H133" s="206"/>
      <c r="I133" s="206"/>
      <c r="J133" s="1"/>
    </row>
    <row r="134" spans="1:10" ht="13.2" x14ac:dyDescent="0.25">
      <c r="A134" s="1"/>
      <c r="B134" s="206"/>
      <c r="C134" s="206"/>
      <c r="D134" s="206"/>
      <c r="E134" s="206"/>
      <c r="F134" s="206"/>
      <c r="G134" s="206"/>
      <c r="H134" s="206"/>
      <c r="I134" s="206"/>
      <c r="J134" s="1"/>
    </row>
    <row r="135" spans="1:10" ht="13.2" x14ac:dyDescent="0.25">
      <c r="A135" s="1"/>
      <c r="B135" s="206"/>
      <c r="C135" s="206"/>
      <c r="D135" s="206"/>
      <c r="E135" s="206"/>
      <c r="F135" s="206"/>
      <c r="G135" s="206"/>
      <c r="H135" s="206"/>
      <c r="I135" s="206"/>
      <c r="J135" s="1"/>
    </row>
    <row r="136" spans="1:10" ht="13.2" x14ac:dyDescent="0.25">
      <c r="A136" s="1"/>
      <c r="B136" s="206"/>
      <c r="C136" s="206"/>
      <c r="D136" s="206"/>
      <c r="E136" s="206"/>
      <c r="F136" s="206"/>
      <c r="G136" s="206"/>
      <c r="H136" s="206"/>
      <c r="I136" s="206"/>
      <c r="J136" s="1"/>
    </row>
    <row r="137" spans="1:10" ht="14.4" x14ac:dyDescent="0.25">
      <c r="A137" s="1"/>
      <c r="B137" s="133"/>
      <c r="C137" s="133"/>
      <c r="D137" s="133"/>
      <c r="E137" s="133"/>
      <c r="F137" s="133"/>
      <c r="G137" s="133"/>
      <c r="H137" s="1"/>
      <c r="I137" s="1"/>
      <c r="J137" s="1"/>
    </row>
    <row r="138" spans="1:10" ht="14.4" x14ac:dyDescent="0.25">
      <c r="A138" s="1"/>
      <c r="B138" s="269" t="str">
        <f ca="1">IFERROR(__xludf.DUMMYFUNCTION("""COMPUTED_VALUE"""),"6. Other comments: ")</f>
        <v xml:space="preserve">6. Other comments: </v>
      </c>
      <c r="C138" s="206"/>
      <c r="D138" s="206"/>
      <c r="E138" s="206"/>
      <c r="F138" s="206"/>
      <c r="G138" s="133"/>
      <c r="H138" s="1"/>
      <c r="I138" s="1"/>
      <c r="J138" s="1"/>
    </row>
    <row r="139" spans="1:10" ht="13.2" x14ac:dyDescent="0.25">
      <c r="A139" s="1"/>
      <c r="B139" s="270"/>
      <c r="C139" s="206"/>
      <c r="D139" s="206"/>
      <c r="E139" s="206"/>
      <c r="F139" s="206"/>
      <c r="G139" s="206"/>
      <c r="H139" s="206"/>
      <c r="I139" s="206"/>
      <c r="J139" s="1"/>
    </row>
    <row r="140" spans="1:10" ht="13.2" x14ac:dyDescent="0.25">
      <c r="A140" s="1"/>
      <c r="B140" s="206"/>
      <c r="C140" s="206"/>
      <c r="D140" s="206"/>
      <c r="E140" s="206"/>
      <c r="F140" s="206"/>
      <c r="G140" s="206"/>
      <c r="H140" s="206"/>
      <c r="I140" s="206"/>
      <c r="J140" s="1"/>
    </row>
    <row r="141" spans="1:10" ht="13.2" x14ac:dyDescent="0.25">
      <c r="A141" s="1"/>
      <c r="B141" s="206"/>
      <c r="C141" s="206"/>
      <c r="D141" s="206"/>
      <c r="E141" s="206"/>
      <c r="F141" s="206"/>
      <c r="G141" s="206"/>
      <c r="H141" s="206"/>
      <c r="I141" s="206"/>
      <c r="J141" s="1"/>
    </row>
    <row r="142" spans="1:10" ht="13.2" x14ac:dyDescent="0.25">
      <c r="A142" s="1"/>
      <c r="B142" s="206"/>
      <c r="C142" s="206"/>
      <c r="D142" s="206"/>
      <c r="E142" s="206"/>
      <c r="F142" s="206"/>
      <c r="G142" s="206"/>
      <c r="H142" s="206"/>
      <c r="I142" s="206"/>
      <c r="J142" s="1"/>
    </row>
    <row r="143" spans="1:10" ht="13.2" x14ac:dyDescent="0.25">
      <c r="A143" s="1"/>
      <c r="B143" s="206"/>
      <c r="C143" s="206"/>
      <c r="D143" s="206"/>
      <c r="E143" s="206"/>
      <c r="F143" s="206"/>
      <c r="G143" s="206"/>
      <c r="H143" s="206"/>
      <c r="I143" s="206"/>
      <c r="J143" s="1"/>
    </row>
    <row r="144" spans="1:10" ht="14.4" x14ac:dyDescent="0.25">
      <c r="A144" s="1"/>
      <c r="B144" s="133"/>
      <c r="C144" s="133"/>
      <c r="D144" s="133"/>
      <c r="E144" s="133"/>
      <c r="F144" s="133"/>
      <c r="G144" s="133"/>
      <c r="H144" s="1"/>
      <c r="I144" s="1"/>
      <c r="J144" s="1"/>
    </row>
    <row r="145" spans="1:10" ht="14.4" x14ac:dyDescent="0.25">
      <c r="A145" s="1"/>
      <c r="B145" s="133"/>
      <c r="C145" s="133"/>
      <c r="D145" s="133"/>
      <c r="E145" s="133"/>
      <c r="F145" s="133"/>
      <c r="G145" s="133"/>
      <c r="H145" s="1"/>
      <c r="I145" s="1"/>
      <c r="J145" s="1"/>
    </row>
    <row r="146" spans="1:10" ht="15.6" x14ac:dyDescent="0.25">
      <c r="A146" s="1"/>
      <c r="B146" s="164" t="str">
        <f ca="1">IFERROR(__xludf.DUMMYFUNCTION("""COMPUTED_VALUE"""),"Name: ")</f>
        <v xml:space="preserve">Name: </v>
      </c>
      <c r="C146" s="164"/>
      <c r="D146" s="164" t="str">
        <f ca="1">IFERROR(__xludf.DUMMYFUNCTION("""COMPUTED_VALUE"""),"Role:")</f>
        <v>Role:</v>
      </c>
      <c r="E146" s="133"/>
      <c r="F146" s="164"/>
      <c r="G146" s="164" t="str">
        <f ca="1">IFERROR(__xludf.DUMMYFUNCTION("""COMPUTED_VALUE"""),"Date:")</f>
        <v>Date:</v>
      </c>
      <c r="H146" s="1"/>
      <c r="I146" s="1"/>
      <c r="J146" s="1"/>
    </row>
    <row r="147" spans="1:10" ht="15.6" x14ac:dyDescent="0.25">
      <c r="A147" s="1"/>
      <c r="B147" s="270"/>
      <c r="C147" s="206"/>
      <c r="D147" s="270"/>
      <c r="E147" s="206"/>
      <c r="F147" s="165"/>
      <c r="G147" s="166"/>
      <c r="H147" s="1"/>
      <c r="I147" s="1"/>
      <c r="J147" s="1"/>
    </row>
    <row r="148" spans="1:10" ht="14.4" x14ac:dyDescent="0.25">
      <c r="A148" s="1"/>
      <c r="B148" s="133"/>
      <c r="C148" s="133"/>
      <c r="D148" s="133"/>
      <c r="E148" s="133"/>
      <c r="F148" s="133"/>
      <c r="G148" s="133"/>
      <c r="H148" s="1"/>
      <c r="I148" s="1"/>
      <c r="J148" s="1"/>
    </row>
    <row r="149" spans="1:10" ht="15.6" x14ac:dyDescent="0.25">
      <c r="A149" s="1"/>
      <c r="B149" s="164" t="str">
        <f ca="1">IFERROR(__xludf.DUMMYFUNCTION("""COMPUTED_VALUE"""),"Signature ")</f>
        <v xml:space="preserve">Signature </v>
      </c>
      <c r="C149" s="133"/>
      <c r="D149" s="133"/>
      <c r="E149" s="133"/>
      <c r="F149" s="133"/>
      <c r="G149" s="133"/>
      <c r="H149" s="1"/>
      <c r="I149" s="1"/>
      <c r="J149" s="1"/>
    </row>
    <row r="150" spans="1:10" ht="14.4" x14ac:dyDescent="0.25">
      <c r="A150" s="1"/>
      <c r="B150" s="133"/>
      <c r="C150" s="133"/>
      <c r="D150" s="133"/>
      <c r="E150" s="133"/>
      <c r="F150" s="133"/>
      <c r="G150" s="133"/>
      <c r="H150" s="1"/>
      <c r="I150" s="1"/>
      <c r="J150" s="1"/>
    </row>
    <row r="151" spans="1:10" ht="14.4" x14ac:dyDescent="0.25">
      <c r="A151" s="1"/>
      <c r="B151" s="133"/>
      <c r="C151" s="133"/>
      <c r="D151" s="133"/>
      <c r="E151" s="133"/>
      <c r="F151" s="133"/>
      <c r="G151" s="133"/>
      <c r="H151" s="1"/>
      <c r="I151" s="1"/>
      <c r="J151" s="1"/>
    </row>
    <row r="152" spans="1:10" ht="14.4" x14ac:dyDescent="0.25">
      <c r="A152" s="1"/>
      <c r="B152" s="133"/>
      <c r="C152" s="133"/>
      <c r="D152" s="133"/>
      <c r="E152" s="133"/>
      <c r="F152" s="133"/>
      <c r="G152" s="133"/>
      <c r="H152" s="1"/>
      <c r="I152" s="1"/>
      <c r="J152" s="1"/>
    </row>
    <row r="153" spans="1:10" ht="13.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ht="13.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ht="13.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ht="13.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</sheetData>
  <mergeCells count="41">
    <mergeCell ref="B2:I2"/>
    <mergeCell ref="B3:I3"/>
    <mergeCell ref="B4:I4"/>
    <mergeCell ref="B7:I7"/>
    <mergeCell ref="C8:D8"/>
    <mergeCell ref="F8:I8"/>
    <mergeCell ref="G9:H9"/>
    <mergeCell ref="G10:H10"/>
    <mergeCell ref="B12:I12"/>
    <mergeCell ref="D13:I13"/>
    <mergeCell ref="D14:I14"/>
    <mergeCell ref="C9:D9"/>
    <mergeCell ref="C10:D10"/>
    <mergeCell ref="D15:I15"/>
    <mergeCell ref="D16:I16"/>
    <mergeCell ref="D17:I17"/>
    <mergeCell ref="B27:I27"/>
    <mergeCell ref="B47:I47"/>
    <mergeCell ref="D18:I18"/>
    <mergeCell ref="D19:I19"/>
    <mergeCell ref="D20:I20"/>
    <mergeCell ref="D21:I21"/>
    <mergeCell ref="D22:I22"/>
    <mergeCell ref="D23:I23"/>
    <mergeCell ref="D24:I24"/>
    <mergeCell ref="B100:D100"/>
    <mergeCell ref="B102:F102"/>
    <mergeCell ref="B104:F104"/>
    <mergeCell ref="B105:I107"/>
    <mergeCell ref="B109:F109"/>
    <mergeCell ref="B138:F138"/>
    <mergeCell ref="B139:I143"/>
    <mergeCell ref="B147:C147"/>
    <mergeCell ref="D147:E147"/>
    <mergeCell ref="B110:I114"/>
    <mergeCell ref="B116:F116"/>
    <mergeCell ref="B117:I122"/>
    <mergeCell ref="B124:F124"/>
    <mergeCell ref="B125:I129"/>
    <mergeCell ref="B131:F131"/>
    <mergeCell ref="B132:I136"/>
  </mergeCells>
  <dataValidations count="1">
    <dataValidation type="custom" allowBlank="1" showDropDown="1" sqref="C9 F147:G147" xr:uid="{00000000-0002-0000-0500-000000000000}">
      <formula1>OR(NOT(ISERROR(DATEVALUE(C9))), AND(ISNUMBER(C9), LEFT(CELL("format", C9))="D"))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1C373"/>
    <outlinePr summaryBelow="0" summaryRight="0"/>
  </sheetPr>
  <dimension ref="A1:H182"/>
  <sheetViews>
    <sheetView showGridLines="0" tabSelected="1" workbookViewId="0">
      <pane ySplit="5" topLeftCell="A171" activePane="bottomLeft" state="frozen"/>
      <selection pane="bottomLeft" activeCell="I62" sqref="I62"/>
    </sheetView>
  </sheetViews>
  <sheetFormatPr defaultColWidth="12.6640625" defaultRowHeight="15.75" customHeight="1" x14ac:dyDescent="0.25"/>
  <cols>
    <col min="1" max="1" width="3.109375" customWidth="1"/>
    <col min="2" max="2" width="12.88671875" customWidth="1"/>
    <col min="3" max="3" width="18.6640625" customWidth="1"/>
    <col min="4" max="4" width="21.33203125" customWidth="1"/>
    <col min="5" max="5" width="23.88671875" customWidth="1"/>
    <col min="6" max="6" width="19.109375" customWidth="1"/>
    <col min="7" max="7" width="34.21875" customWidth="1"/>
    <col min="8" max="8" width="3" customWidth="1"/>
  </cols>
  <sheetData>
    <row r="1" spans="1:8" ht="14.4" x14ac:dyDescent="0.25">
      <c r="A1" s="133" t="str">
        <f ca="1">IFERROR(__xludf.DUMMYFUNCTION("IFERROR(IMPORTRANGE('System Setup'!AF4,""LO Achievement Report!A1:H128""))")," ")</f>
        <v xml:space="preserve"> </v>
      </c>
      <c r="B1" s="133"/>
      <c r="C1" s="133"/>
      <c r="D1" s="167"/>
      <c r="E1" s="167"/>
      <c r="F1" s="133"/>
      <c r="G1" s="133"/>
      <c r="H1" s="133"/>
    </row>
    <row r="2" spans="1:8" ht="22.5" customHeight="1" x14ac:dyDescent="0.25">
      <c r="A2" s="133"/>
      <c r="B2" s="133"/>
      <c r="C2" s="133"/>
      <c r="D2" s="320" t="str">
        <f ca="1">IFERROR(__xludf.DUMMYFUNCTION("""COMPUTED_VALUE"""),"           Academic Achivment Report ")</f>
        <v xml:space="preserve">           Academic Achivment Report </v>
      </c>
      <c r="E2" s="206"/>
      <c r="F2" s="206"/>
      <c r="G2" s="133"/>
      <c r="H2" s="133"/>
    </row>
    <row r="3" spans="1:8" ht="21" customHeight="1" x14ac:dyDescent="0.25">
      <c r="A3" s="133"/>
      <c r="B3" s="320" t="str">
        <f ca="1">IFERROR(__xludf.DUMMYFUNCTION("""COMPUTED_VALUE"""),"OSCE Final Exam For General Practise 2  &lt;&lt; 2023-2024 &gt;&gt;")</f>
        <v>OSCE Final Exam For General Practise 2  &lt;&lt; 2023-2024 &gt;&gt;</v>
      </c>
      <c r="C3" s="206"/>
      <c r="D3" s="206"/>
      <c r="E3" s="206"/>
      <c r="F3" s="206"/>
      <c r="G3" s="206"/>
      <c r="H3" s="133"/>
    </row>
    <row r="4" spans="1:8" ht="13.5" customHeight="1" x14ac:dyDescent="0.25">
      <c r="A4" s="133"/>
      <c r="B4" s="321"/>
      <c r="C4" s="206"/>
      <c r="D4" s="206"/>
      <c r="E4" s="206"/>
      <c r="F4" s="206"/>
      <c r="G4" s="206"/>
      <c r="H4" s="133"/>
    </row>
    <row r="5" spans="1:8" ht="14.4" x14ac:dyDescent="0.25">
      <c r="A5" s="133"/>
      <c r="B5" s="168" t="str">
        <f ca="1">IFERROR(__xludf.DUMMYFUNCTION("""COMPUTED_VALUE"""),"Filter by Discipline ")</f>
        <v xml:space="preserve">Filter by Discipline </v>
      </c>
      <c r="C5" s="169"/>
      <c r="D5" s="1"/>
      <c r="E5" s="1"/>
      <c r="F5" s="1"/>
      <c r="G5" s="1"/>
      <c r="H5" s="133"/>
    </row>
    <row r="6" spans="1:8" ht="14.4" x14ac:dyDescent="0.25">
      <c r="A6" s="133"/>
      <c r="B6" s="133"/>
      <c r="C6" s="133"/>
      <c r="D6" s="133"/>
      <c r="E6" s="133"/>
      <c r="F6" s="133"/>
      <c r="G6" s="133"/>
      <c r="H6" s="133"/>
    </row>
    <row r="7" spans="1:8" ht="14.4" x14ac:dyDescent="0.25">
      <c r="A7" s="133"/>
      <c r="B7" s="322" t="str">
        <f ca="1">IFERROR(__xludf.DUMMYFUNCTION("""COMPUTED_VALUE"""),"  CLO Level of Achievement (out of 5)")</f>
        <v xml:space="preserve">  CLO Level of Achievement (out of 5)</v>
      </c>
      <c r="C7" s="304"/>
      <c r="D7" s="170">
        <f ca="1">IFERROR(__xludf.DUMMYFUNCTION("""COMPUTED_VALUE"""),3.09)</f>
        <v>3.09</v>
      </c>
      <c r="E7" s="322" t="str">
        <f ca="1">IFERROR(__xludf.DUMMYFUNCTION("""COMPUTED_VALUE"""),"  Number of Unachieve LO (&lt;60%)")</f>
        <v xml:space="preserve">  Number of Unachieve LO (&lt;60%)</v>
      </c>
      <c r="F7" s="304"/>
      <c r="G7" s="170" t="str">
        <f ca="1">IFERROR(__xludf.DUMMYFUNCTION("""COMPUTED_VALUE"""),"5  Out of  18")</f>
        <v>5  Out of  18</v>
      </c>
      <c r="H7" s="133"/>
    </row>
    <row r="8" spans="1:8" ht="14.4" x14ac:dyDescent="0.25">
      <c r="A8" s="133"/>
      <c r="B8" s="322" t="str">
        <f ca="1">IFERROR(__xludf.DUMMYFUNCTION("""COMPUTED_VALUE"""),"  Exam Average Score ")</f>
        <v xml:space="preserve">  Exam Average Score </v>
      </c>
      <c r="C8" s="304"/>
      <c r="D8" s="171" t="str">
        <f ca="1">IFERROR(__xludf.DUMMYFUNCTION("""COMPUTED_VALUE"""),"17.60 out of 24.00")</f>
        <v>17.60 out of 24.00</v>
      </c>
      <c r="E8" s="323" t="str">
        <f ca="1">IFERROR(__xludf.DUMMYFUNCTION("""COMPUTED_VALUE"""),"  Number of Student Need Remediation ")</f>
        <v xml:space="preserve">  Number of Student Need Remediation </v>
      </c>
      <c r="F8" s="304"/>
      <c r="G8" s="170"/>
      <c r="H8" s="133"/>
    </row>
    <row r="9" spans="1:8" ht="14.4" x14ac:dyDescent="0.25">
      <c r="A9" s="133"/>
      <c r="B9" s="133"/>
      <c r="C9" s="133"/>
      <c r="D9" s="133"/>
      <c r="E9" s="133"/>
      <c r="F9" s="133"/>
      <c r="G9" s="133"/>
      <c r="H9" s="133"/>
    </row>
    <row r="10" spans="1:8" ht="14.4" x14ac:dyDescent="0.25">
      <c r="A10" s="133"/>
      <c r="B10" s="324" t="str">
        <f ca="1">IFERROR(__xludf.DUMMYFUNCTION("""COMPUTED_VALUE"""),"CLO Achievement ")</f>
        <v xml:space="preserve">CLO Achievement </v>
      </c>
      <c r="C10" s="206"/>
      <c r="D10" s="206"/>
      <c r="E10" s="206"/>
      <c r="F10" s="206"/>
      <c r="G10" s="206"/>
      <c r="H10" s="133"/>
    </row>
    <row r="11" spans="1:8" ht="43.2" x14ac:dyDescent="0.25">
      <c r="A11" s="133"/>
      <c r="B11" s="172" t="str">
        <f ca="1">IFERROR(__xludf.DUMMYFUNCTION("""COMPUTED_VALUE"""),"CLO")</f>
        <v>CLO</v>
      </c>
      <c r="C11" s="172" t="str">
        <f ca="1">IFERROR(__xludf.DUMMYFUNCTION("""COMPUTED_VALUE"""),"Number of items representing the LO")</f>
        <v>Number of items representing the LO</v>
      </c>
      <c r="D11" s="173" t="str">
        <f ca="1">IFERROR(__xludf.DUMMYFUNCTION("""COMPUTED_VALUE"""),"Percentage of LO in the exam")</f>
        <v>Percentage of LO in the exam</v>
      </c>
      <c r="E11" s="173" t="str">
        <f ca="1">IFERROR(__xludf.DUMMYFUNCTION("""COMPUTED_VALUE"""),"% of CLO Achievement ")</f>
        <v xml:space="preserve">% of CLO Achievement </v>
      </c>
      <c r="F11" s="172" t="str">
        <f ca="1">IFERROR(__xludf.DUMMYFUNCTION("""COMPUTED_VALUE"""),"LO level of achievement (out of 5)")</f>
        <v>LO level of achievement (out of 5)</v>
      </c>
      <c r="G11" s="172" t="str">
        <f ca="1">IFERROR(__xludf.DUMMYFUNCTION("""COMPUTED_VALUE"""),"Action Plan ")</f>
        <v xml:space="preserve">Action Plan </v>
      </c>
      <c r="H11" s="133"/>
    </row>
    <row r="12" spans="1:8" ht="14.4" x14ac:dyDescent="0.25">
      <c r="A12" s="133"/>
      <c r="B12" s="174">
        <f ca="1">IFERROR(__xludf.DUMMYFUNCTION("""COMPUTED_VALUE"""),2.1)</f>
        <v>2.1</v>
      </c>
      <c r="C12" s="175">
        <f ca="1">IFERROR(__xludf.DUMMYFUNCTION("""COMPUTED_VALUE"""),22)</f>
        <v>22</v>
      </c>
      <c r="D12" s="176">
        <f ca="1">IFERROR(__xludf.DUMMYFUNCTION("""COMPUTED_VALUE"""),0.34375)</f>
        <v>0.34375</v>
      </c>
      <c r="E12" s="176">
        <f ca="1">IFERROR(__xludf.DUMMYFUNCTION("""COMPUTED_VALUE"""),0.656263680140084)</f>
        <v>0.65626368014008396</v>
      </c>
      <c r="F12" s="177">
        <f ca="1">IFERROR(__xludf.DUMMYFUNCTION("""COMPUTED_VALUE"""),2.36363636363636)</f>
        <v>2.3636363636363602</v>
      </c>
      <c r="G12" s="178"/>
      <c r="H12" s="133"/>
    </row>
    <row r="13" spans="1:8" ht="14.4" x14ac:dyDescent="0.25">
      <c r="A13" s="133"/>
      <c r="B13" s="174">
        <f ca="1">IFERROR(__xludf.DUMMYFUNCTION("""COMPUTED_VALUE"""),2.11)</f>
        <v>2.11</v>
      </c>
      <c r="C13" s="175">
        <f ca="1">IFERROR(__xludf.DUMMYFUNCTION("""COMPUTED_VALUE"""),5)</f>
        <v>5</v>
      </c>
      <c r="D13" s="176">
        <f ca="1">IFERROR(__xludf.DUMMYFUNCTION("""COMPUTED_VALUE"""),0.078125)</f>
        <v>7.8125E-2</v>
      </c>
      <c r="E13" s="176">
        <f ca="1">IFERROR(__xludf.DUMMYFUNCTION("""COMPUTED_VALUE"""),0.806367041198501)</f>
        <v>0.806367041198501</v>
      </c>
      <c r="F13" s="177">
        <f ca="1">IFERROR(__xludf.DUMMYFUNCTION("""COMPUTED_VALUE"""),3.6)</f>
        <v>3.6</v>
      </c>
      <c r="G13" s="178"/>
      <c r="H13" s="133"/>
    </row>
    <row r="14" spans="1:8" ht="14.4" x14ac:dyDescent="0.25">
      <c r="A14" s="133"/>
      <c r="B14" s="174">
        <f ca="1">IFERROR(__xludf.DUMMYFUNCTION("""COMPUTED_VALUE"""),2.12)</f>
        <v>2.12</v>
      </c>
      <c r="C14" s="175">
        <f ca="1">IFERROR(__xludf.DUMMYFUNCTION("""COMPUTED_VALUE"""),4)</f>
        <v>4</v>
      </c>
      <c r="D14" s="176">
        <f ca="1">IFERROR(__xludf.DUMMYFUNCTION("""COMPUTED_VALUE"""),0.0625)</f>
        <v>6.25E-2</v>
      </c>
      <c r="E14" s="176">
        <f ca="1">IFERROR(__xludf.DUMMYFUNCTION("""COMPUTED_VALUE"""),0.800561797752809)</f>
        <v>0.800561797752809</v>
      </c>
      <c r="F14" s="177">
        <f ca="1">IFERROR(__xludf.DUMMYFUNCTION("""COMPUTED_VALUE"""),3.5)</f>
        <v>3.5</v>
      </c>
      <c r="G14" s="178"/>
      <c r="H14" s="133"/>
    </row>
    <row r="15" spans="1:8" ht="14.4" x14ac:dyDescent="0.25">
      <c r="A15" s="133"/>
      <c r="B15" s="174">
        <f ca="1">IFERROR(__xludf.DUMMYFUNCTION("""COMPUTED_VALUE"""),2.15)</f>
        <v>2.15</v>
      </c>
      <c r="C15" s="175">
        <f ca="1">IFERROR(__xludf.DUMMYFUNCTION("""COMPUTED_VALUE"""),5)</f>
        <v>5</v>
      </c>
      <c r="D15" s="176">
        <f ca="1">IFERROR(__xludf.DUMMYFUNCTION("""COMPUTED_VALUE"""),0.078125)</f>
        <v>7.8125E-2</v>
      </c>
      <c r="E15" s="176">
        <f ca="1">IFERROR(__xludf.DUMMYFUNCTION("""COMPUTED_VALUE"""),0.764044943820224)</f>
        <v>0.76404494382022403</v>
      </c>
      <c r="F15" s="177">
        <f ca="1">IFERROR(__xludf.DUMMYFUNCTION("""COMPUTED_VALUE"""),3)</f>
        <v>3</v>
      </c>
      <c r="G15" s="178"/>
      <c r="H15" s="133"/>
    </row>
    <row r="16" spans="1:8" ht="14.4" x14ac:dyDescent="0.25">
      <c r="A16" s="133"/>
      <c r="B16" s="174">
        <f ca="1">IFERROR(__xludf.DUMMYFUNCTION("""COMPUTED_VALUE"""),2.2)</f>
        <v>2.2000000000000002</v>
      </c>
      <c r="C16" s="175">
        <f ca="1">IFERROR(__xludf.DUMMYFUNCTION("""COMPUTED_VALUE"""),17)</f>
        <v>17</v>
      </c>
      <c r="D16" s="176">
        <f ca="1">IFERROR(__xludf.DUMMYFUNCTION("""COMPUTED_VALUE"""),0.265625)</f>
        <v>0.265625</v>
      </c>
      <c r="E16" s="176">
        <f ca="1">IFERROR(__xludf.DUMMYFUNCTION("""COMPUTED_VALUE"""),0.853227583168098)</f>
        <v>0.85322758316809799</v>
      </c>
      <c r="F16" s="177">
        <f ca="1">IFERROR(__xludf.DUMMYFUNCTION("""COMPUTED_VALUE"""),3.88235294117647)</f>
        <v>3.8823529411764701</v>
      </c>
      <c r="G16" s="178"/>
      <c r="H16" s="133"/>
    </row>
    <row r="17" spans="1:8" ht="14.4" x14ac:dyDescent="0.25">
      <c r="A17" s="133"/>
      <c r="B17" s="174">
        <f ca="1">IFERROR(__xludf.DUMMYFUNCTION("""COMPUTED_VALUE"""),2.3)</f>
        <v>2.2999999999999998</v>
      </c>
      <c r="C17" s="175">
        <f ca="1">IFERROR(__xludf.DUMMYFUNCTION("""COMPUTED_VALUE"""),8)</f>
        <v>8</v>
      </c>
      <c r="D17" s="176">
        <f ca="1">IFERROR(__xludf.DUMMYFUNCTION("""COMPUTED_VALUE"""),0.125)</f>
        <v>0.125</v>
      </c>
      <c r="E17" s="176">
        <f ca="1">IFERROR(__xludf.DUMMYFUNCTION("""COMPUTED_VALUE"""),0.812219101123595)</f>
        <v>0.81221910112359497</v>
      </c>
      <c r="F17" s="177">
        <f ca="1">IFERROR(__xludf.DUMMYFUNCTION("""COMPUTED_VALUE"""),3.625)</f>
        <v>3.625</v>
      </c>
      <c r="G17" s="178"/>
      <c r="H17" s="133"/>
    </row>
    <row r="18" spans="1:8" ht="14.4" x14ac:dyDescent="0.25">
      <c r="A18" s="133"/>
      <c r="B18" s="174">
        <f ca="1">IFERROR(__xludf.DUMMYFUNCTION("""COMPUTED_VALUE"""),2.4)</f>
        <v>2.4</v>
      </c>
      <c r="C18" s="175">
        <f ca="1">IFERROR(__xludf.DUMMYFUNCTION("""COMPUTED_VALUE"""),12)</f>
        <v>12</v>
      </c>
      <c r="D18" s="176">
        <f ca="1">IFERROR(__xludf.DUMMYFUNCTION("""COMPUTED_VALUE"""),0.1875)</f>
        <v>0.1875</v>
      </c>
      <c r="E18" s="176">
        <f ca="1">IFERROR(__xludf.DUMMYFUNCTION("""COMPUTED_VALUE"""),0.575530586766541)</f>
        <v>0.57553058676654101</v>
      </c>
      <c r="F18" s="177">
        <f ca="1">IFERROR(__xludf.DUMMYFUNCTION("""COMPUTED_VALUE"""),2)</f>
        <v>2</v>
      </c>
      <c r="G18" s="178"/>
      <c r="H18" s="133"/>
    </row>
    <row r="19" spans="1:8" ht="14.4" x14ac:dyDescent="0.25">
      <c r="A19" s="133"/>
      <c r="B19" s="174">
        <f ca="1">IFERROR(__xludf.DUMMYFUNCTION("""COMPUTED_VALUE"""),2.5)</f>
        <v>2.5</v>
      </c>
      <c r="C19" s="175">
        <f ca="1">IFERROR(__xludf.DUMMYFUNCTION("""COMPUTED_VALUE"""),5)</f>
        <v>5</v>
      </c>
      <c r="D19" s="176">
        <f ca="1">IFERROR(__xludf.DUMMYFUNCTION("""COMPUTED_VALUE"""),0.078125)</f>
        <v>7.8125E-2</v>
      </c>
      <c r="E19" s="176">
        <f ca="1">IFERROR(__xludf.DUMMYFUNCTION("""COMPUTED_VALUE"""),0.740823970037453)</f>
        <v>0.74082397003745304</v>
      </c>
      <c r="F19" s="177">
        <f ca="1">IFERROR(__xludf.DUMMYFUNCTION("""COMPUTED_VALUE"""),3.2)</f>
        <v>3.2</v>
      </c>
      <c r="G19" s="178"/>
      <c r="H19" s="133"/>
    </row>
    <row r="20" spans="1:8" ht="14.4" x14ac:dyDescent="0.25">
      <c r="A20" s="133"/>
      <c r="B20" s="174">
        <f ca="1">IFERROR(__xludf.DUMMYFUNCTION("""COMPUTED_VALUE"""),2.9)</f>
        <v>2.9</v>
      </c>
      <c r="C20" s="175">
        <f ca="1">IFERROR(__xludf.DUMMYFUNCTION("""COMPUTED_VALUE"""),1)</f>
        <v>1</v>
      </c>
      <c r="D20" s="176">
        <f ca="1">IFERROR(__xludf.DUMMYFUNCTION("""COMPUTED_VALUE"""),0.015625)</f>
        <v>1.5625E-2</v>
      </c>
      <c r="E20" s="176">
        <f ca="1">IFERROR(__xludf.DUMMYFUNCTION("""COMPUTED_VALUE"""),0.368913857677902)</f>
        <v>0.36891385767790202</v>
      </c>
      <c r="F20" s="177">
        <f ca="1">IFERROR(__xludf.DUMMYFUNCTION("""COMPUTED_VALUE"""),1)</f>
        <v>1</v>
      </c>
      <c r="G20" s="178"/>
      <c r="H20" s="133"/>
    </row>
    <row r="21" spans="1:8" ht="14.4" x14ac:dyDescent="0.25">
      <c r="A21" s="133"/>
      <c r="B21" s="174" t="str">
        <f ca="1">IFERROR(__xludf.DUMMYFUNCTION("""COMPUTED_VALUE"""),"2.1")</f>
        <v>2.1</v>
      </c>
      <c r="C21" s="175">
        <f ca="1">IFERROR(__xludf.DUMMYFUNCTION("""COMPUTED_VALUE"""),22)</f>
        <v>22</v>
      </c>
      <c r="D21" s="176">
        <f ca="1">IFERROR(__xludf.DUMMYFUNCTION("""COMPUTED_VALUE"""),0.34375)</f>
        <v>0.34375</v>
      </c>
      <c r="E21" s="176">
        <f ca="1">IFERROR(__xludf.DUMMYFUNCTION("""COMPUTED_VALUE"""),0.656263680140084)</f>
        <v>0.65626368014008396</v>
      </c>
      <c r="F21" s="177">
        <f ca="1">IFERROR(__xludf.DUMMYFUNCTION("""COMPUTED_VALUE"""),2.36363636363636)</f>
        <v>2.3636363636363602</v>
      </c>
      <c r="G21" s="178"/>
      <c r="H21" s="133"/>
    </row>
    <row r="22" spans="1:8" ht="14.4" x14ac:dyDescent="0.25">
      <c r="A22" s="133"/>
      <c r="B22" s="174" t="str">
        <f ca="1">IFERROR(__xludf.DUMMYFUNCTION("""COMPUTED_VALUE"""),"2.11")</f>
        <v>2.11</v>
      </c>
      <c r="C22" s="175">
        <f ca="1">IFERROR(__xludf.DUMMYFUNCTION("""COMPUTED_VALUE"""),5)</f>
        <v>5</v>
      </c>
      <c r="D22" s="176">
        <f ca="1">IFERROR(__xludf.DUMMYFUNCTION("""COMPUTED_VALUE"""),0.078125)</f>
        <v>7.8125E-2</v>
      </c>
      <c r="E22" s="176">
        <f ca="1">IFERROR(__xludf.DUMMYFUNCTION("""COMPUTED_VALUE"""),0.806367041198501)</f>
        <v>0.806367041198501</v>
      </c>
      <c r="F22" s="177">
        <f ca="1">IFERROR(__xludf.DUMMYFUNCTION("""COMPUTED_VALUE"""),3.6)</f>
        <v>3.6</v>
      </c>
      <c r="G22" s="178"/>
      <c r="H22" s="133"/>
    </row>
    <row r="23" spans="1:8" ht="14.4" x14ac:dyDescent="0.25">
      <c r="A23" s="133"/>
      <c r="B23" s="174" t="str">
        <f ca="1">IFERROR(__xludf.DUMMYFUNCTION("""COMPUTED_VALUE"""),"2.12")</f>
        <v>2.12</v>
      </c>
      <c r="C23" s="175">
        <f ca="1">IFERROR(__xludf.DUMMYFUNCTION("""COMPUTED_VALUE"""),4)</f>
        <v>4</v>
      </c>
      <c r="D23" s="176">
        <f ca="1">IFERROR(__xludf.DUMMYFUNCTION("""COMPUTED_VALUE"""),0.0625)</f>
        <v>6.25E-2</v>
      </c>
      <c r="E23" s="176">
        <f ca="1">IFERROR(__xludf.DUMMYFUNCTION("""COMPUTED_VALUE"""),0.800561797752809)</f>
        <v>0.800561797752809</v>
      </c>
      <c r="F23" s="177">
        <f ca="1">IFERROR(__xludf.DUMMYFUNCTION("""COMPUTED_VALUE"""),3.5)</f>
        <v>3.5</v>
      </c>
      <c r="G23" s="178"/>
      <c r="H23" s="133"/>
    </row>
    <row r="24" spans="1:8" ht="14.4" x14ac:dyDescent="0.25">
      <c r="A24" s="133"/>
      <c r="B24" s="174" t="str">
        <f ca="1">IFERROR(__xludf.DUMMYFUNCTION("""COMPUTED_VALUE"""),"2.15")</f>
        <v>2.15</v>
      </c>
      <c r="C24" s="175">
        <f ca="1">IFERROR(__xludf.DUMMYFUNCTION("""COMPUTED_VALUE"""),5)</f>
        <v>5</v>
      </c>
      <c r="D24" s="176">
        <f ca="1">IFERROR(__xludf.DUMMYFUNCTION("""COMPUTED_VALUE"""),0.078125)</f>
        <v>7.8125E-2</v>
      </c>
      <c r="E24" s="176">
        <f ca="1">IFERROR(__xludf.DUMMYFUNCTION("""COMPUTED_VALUE"""),0.764044943820224)</f>
        <v>0.76404494382022403</v>
      </c>
      <c r="F24" s="177">
        <f ca="1">IFERROR(__xludf.DUMMYFUNCTION("""COMPUTED_VALUE"""),3)</f>
        <v>3</v>
      </c>
      <c r="G24" s="178"/>
      <c r="H24" s="133"/>
    </row>
    <row r="25" spans="1:8" ht="14.4" x14ac:dyDescent="0.25">
      <c r="A25" s="133"/>
      <c r="B25" s="174" t="str">
        <f ca="1">IFERROR(__xludf.DUMMYFUNCTION("""COMPUTED_VALUE"""),"2.2")</f>
        <v>2.2</v>
      </c>
      <c r="C25" s="175">
        <f ca="1">IFERROR(__xludf.DUMMYFUNCTION("""COMPUTED_VALUE"""),17)</f>
        <v>17</v>
      </c>
      <c r="D25" s="176">
        <f ca="1">IFERROR(__xludf.DUMMYFUNCTION("""COMPUTED_VALUE"""),0.265625)</f>
        <v>0.265625</v>
      </c>
      <c r="E25" s="176">
        <f ca="1">IFERROR(__xludf.DUMMYFUNCTION("""COMPUTED_VALUE"""),0.853227583168098)</f>
        <v>0.85322758316809799</v>
      </c>
      <c r="F25" s="177">
        <f ca="1">IFERROR(__xludf.DUMMYFUNCTION("""COMPUTED_VALUE"""),3.88235294117647)</f>
        <v>3.8823529411764701</v>
      </c>
      <c r="G25" s="178"/>
      <c r="H25" s="133"/>
    </row>
    <row r="26" spans="1:8" ht="14.4" x14ac:dyDescent="0.25">
      <c r="A26" s="133"/>
      <c r="B26" s="174" t="str">
        <f ca="1">IFERROR(__xludf.DUMMYFUNCTION("""COMPUTED_VALUE"""),"2.3")</f>
        <v>2.3</v>
      </c>
      <c r="C26" s="175">
        <f ca="1">IFERROR(__xludf.DUMMYFUNCTION("""COMPUTED_VALUE"""),8)</f>
        <v>8</v>
      </c>
      <c r="D26" s="176">
        <f ca="1">IFERROR(__xludf.DUMMYFUNCTION("""COMPUTED_VALUE"""),0.125)</f>
        <v>0.125</v>
      </c>
      <c r="E26" s="176">
        <f ca="1">IFERROR(__xludf.DUMMYFUNCTION("""COMPUTED_VALUE"""),0.812219101123595)</f>
        <v>0.81221910112359497</v>
      </c>
      <c r="F26" s="177">
        <f ca="1">IFERROR(__xludf.DUMMYFUNCTION("""COMPUTED_VALUE"""),3.625)</f>
        <v>3.625</v>
      </c>
      <c r="G26" s="178"/>
      <c r="H26" s="133"/>
    </row>
    <row r="27" spans="1:8" ht="14.4" x14ac:dyDescent="0.25">
      <c r="A27" s="133"/>
      <c r="B27" s="174" t="str">
        <f ca="1">IFERROR(__xludf.DUMMYFUNCTION("""COMPUTED_VALUE"""),"2.4")</f>
        <v>2.4</v>
      </c>
      <c r="C27" s="175">
        <f ca="1">IFERROR(__xludf.DUMMYFUNCTION("""COMPUTED_VALUE"""),12)</f>
        <v>12</v>
      </c>
      <c r="D27" s="176">
        <f ca="1">IFERROR(__xludf.DUMMYFUNCTION("""COMPUTED_VALUE"""),0.1875)</f>
        <v>0.1875</v>
      </c>
      <c r="E27" s="176">
        <f ca="1">IFERROR(__xludf.DUMMYFUNCTION("""COMPUTED_VALUE"""),0.575530586766541)</f>
        <v>0.57553058676654101</v>
      </c>
      <c r="F27" s="177">
        <f ca="1">IFERROR(__xludf.DUMMYFUNCTION("""COMPUTED_VALUE"""),2)</f>
        <v>2</v>
      </c>
      <c r="G27" s="178"/>
      <c r="H27" s="133"/>
    </row>
    <row r="28" spans="1:8" ht="14.4" x14ac:dyDescent="0.25">
      <c r="A28" s="133"/>
      <c r="B28" s="174" t="str">
        <f ca="1">IFERROR(__xludf.DUMMYFUNCTION("""COMPUTED_VALUE"""),"2.5")</f>
        <v>2.5</v>
      </c>
      <c r="C28" s="175">
        <f ca="1">IFERROR(__xludf.DUMMYFUNCTION("""COMPUTED_VALUE"""),5)</f>
        <v>5</v>
      </c>
      <c r="D28" s="176">
        <f ca="1">IFERROR(__xludf.DUMMYFUNCTION("""COMPUTED_VALUE"""),0.078125)</f>
        <v>7.8125E-2</v>
      </c>
      <c r="E28" s="176">
        <f ca="1">IFERROR(__xludf.DUMMYFUNCTION("""COMPUTED_VALUE"""),0.740823970037453)</f>
        <v>0.74082397003745304</v>
      </c>
      <c r="F28" s="177">
        <f ca="1">IFERROR(__xludf.DUMMYFUNCTION("""COMPUTED_VALUE"""),3.2)</f>
        <v>3.2</v>
      </c>
      <c r="G28" s="178"/>
      <c r="H28" s="133"/>
    </row>
    <row r="29" spans="1:8" ht="14.4" x14ac:dyDescent="0.25">
      <c r="A29" s="133"/>
      <c r="B29" s="174" t="str">
        <f ca="1">IFERROR(__xludf.DUMMYFUNCTION("""COMPUTED_VALUE"""),"3.2")</f>
        <v>3.2</v>
      </c>
      <c r="C29" s="175">
        <f ca="1">IFERROR(__xludf.DUMMYFUNCTION("""COMPUTED_VALUE"""),6)</f>
        <v>6</v>
      </c>
      <c r="D29" s="176">
        <f ca="1">IFERROR(__xludf.DUMMYFUNCTION("""COMPUTED_VALUE"""),0.09375)</f>
        <v>9.375E-2</v>
      </c>
      <c r="E29" s="176">
        <f ca="1">IFERROR(__xludf.DUMMYFUNCTION("""COMPUTED_VALUE"""),0.892103620474407)</f>
        <v>0.89210362047440706</v>
      </c>
      <c r="F29" s="177">
        <f ca="1">IFERROR(__xludf.DUMMYFUNCTION("""COMPUTED_VALUE"""),4.33333333333333)</f>
        <v>4.3333333333333304</v>
      </c>
      <c r="G29" s="178"/>
      <c r="H29" s="133"/>
    </row>
    <row r="30" spans="1:8" ht="14.4" x14ac:dyDescent="0.25">
      <c r="A30" s="133"/>
      <c r="B30" s="174"/>
      <c r="C30" s="175" t="str">
        <f ca="1">IFERROR(__xludf.DUMMYFUNCTION("""COMPUTED_VALUE"""),"")</f>
        <v/>
      </c>
      <c r="D30" s="176" t="str">
        <f ca="1">IFERROR(__xludf.DUMMYFUNCTION("""COMPUTED_VALUE"""),"")</f>
        <v/>
      </c>
      <c r="E30" s="176" t="str">
        <f ca="1">IFERROR(__xludf.DUMMYFUNCTION("""COMPUTED_VALUE"""),"")</f>
        <v/>
      </c>
      <c r="F30" s="177" t="str">
        <f ca="1">IFERROR(__xludf.DUMMYFUNCTION("""COMPUTED_VALUE"""),"")</f>
        <v/>
      </c>
      <c r="G30" s="178"/>
      <c r="H30" s="133"/>
    </row>
    <row r="31" spans="1:8" ht="14.4" x14ac:dyDescent="0.25">
      <c r="A31" s="133"/>
      <c r="B31" s="174"/>
      <c r="C31" s="175" t="str">
        <f ca="1">IFERROR(__xludf.DUMMYFUNCTION("""COMPUTED_VALUE"""),"")</f>
        <v/>
      </c>
      <c r="D31" s="176" t="str">
        <f ca="1">IFERROR(__xludf.DUMMYFUNCTION("""COMPUTED_VALUE"""),"")</f>
        <v/>
      </c>
      <c r="E31" s="176" t="str">
        <f ca="1">IFERROR(__xludf.DUMMYFUNCTION("""COMPUTED_VALUE"""),"")</f>
        <v/>
      </c>
      <c r="F31" s="177" t="str">
        <f ca="1">IFERROR(__xludf.DUMMYFUNCTION("""COMPUTED_VALUE"""),"")</f>
        <v/>
      </c>
      <c r="G31" s="178"/>
      <c r="H31" s="133"/>
    </row>
    <row r="32" spans="1:8" ht="14.4" x14ac:dyDescent="0.25">
      <c r="A32" s="133"/>
      <c r="B32" s="174"/>
      <c r="C32" s="175" t="str">
        <f ca="1">IFERROR(__xludf.DUMMYFUNCTION("""COMPUTED_VALUE"""),"")</f>
        <v/>
      </c>
      <c r="D32" s="176" t="str">
        <f ca="1">IFERROR(__xludf.DUMMYFUNCTION("""COMPUTED_VALUE"""),"")</f>
        <v/>
      </c>
      <c r="E32" s="176" t="str">
        <f ca="1">IFERROR(__xludf.DUMMYFUNCTION("""COMPUTED_VALUE"""),"")</f>
        <v/>
      </c>
      <c r="F32" s="177" t="str">
        <f ca="1">IFERROR(__xludf.DUMMYFUNCTION("""COMPUTED_VALUE"""),"")</f>
        <v/>
      </c>
      <c r="G32" s="178"/>
      <c r="H32" s="133"/>
    </row>
    <row r="33" spans="1:8" ht="14.4" x14ac:dyDescent="0.25">
      <c r="A33" s="133"/>
      <c r="B33" s="174"/>
      <c r="C33" s="175" t="str">
        <f ca="1">IFERROR(__xludf.DUMMYFUNCTION("""COMPUTED_VALUE"""),"")</f>
        <v/>
      </c>
      <c r="D33" s="176" t="str">
        <f ca="1">IFERROR(__xludf.DUMMYFUNCTION("""COMPUTED_VALUE"""),"")</f>
        <v/>
      </c>
      <c r="E33" s="176" t="str">
        <f ca="1">IFERROR(__xludf.DUMMYFUNCTION("""COMPUTED_VALUE"""),"")</f>
        <v/>
      </c>
      <c r="F33" s="177" t="str">
        <f ca="1">IFERROR(__xludf.DUMMYFUNCTION("""COMPUTED_VALUE"""),"")</f>
        <v/>
      </c>
      <c r="G33" s="178"/>
      <c r="H33" s="133"/>
    </row>
    <row r="34" spans="1:8" ht="14.4" x14ac:dyDescent="0.25">
      <c r="A34" s="133"/>
      <c r="B34" s="174"/>
      <c r="C34" s="175" t="str">
        <f ca="1">IFERROR(__xludf.DUMMYFUNCTION("""COMPUTED_VALUE"""),"")</f>
        <v/>
      </c>
      <c r="D34" s="176" t="str">
        <f ca="1">IFERROR(__xludf.DUMMYFUNCTION("""COMPUTED_VALUE"""),"")</f>
        <v/>
      </c>
      <c r="E34" s="176" t="str">
        <f ca="1">IFERROR(__xludf.DUMMYFUNCTION("""COMPUTED_VALUE"""),"")</f>
        <v/>
      </c>
      <c r="F34" s="177" t="str">
        <f ca="1">IFERROR(__xludf.DUMMYFUNCTION("""COMPUTED_VALUE"""),"")</f>
        <v/>
      </c>
      <c r="G34" s="178"/>
      <c r="H34" s="133"/>
    </row>
    <row r="35" spans="1:8" ht="14.4" x14ac:dyDescent="0.25">
      <c r="A35" s="133"/>
      <c r="B35" s="174"/>
      <c r="C35" s="175" t="str">
        <f ca="1">IFERROR(__xludf.DUMMYFUNCTION("""COMPUTED_VALUE"""),"")</f>
        <v/>
      </c>
      <c r="D35" s="176" t="str">
        <f ca="1">IFERROR(__xludf.DUMMYFUNCTION("""COMPUTED_VALUE"""),"")</f>
        <v/>
      </c>
      <c r="E35" s="176" t="str">
        <f ca="1">IFERROR(__xludf.DUMMYFUNCTION("""COMPUTED_VALUE"""),"")</f>
        <v/>
      </c>
      <c r="F35" s="177" t="str">
        <f ca="1">IFERROR(__xludf.DUMMYFUNCTION("""COMPUTED_VALUE"""),"")</f>
        <v/>
      </c>
      <c r="G35" s="178"/>
      <c r="H35" s="133"/>
    </row>
    <row r="36" spans="1:8" ht="14.4" x14ac:dyDescent="0.25">
      <c r="A36" s="133"/>
      <c r="B36" s="179"/>
      <c r="C36" s="175" t="str">
        <f ca="1">IFERROR(__xludf.DUMMYFUNCTION("""COMPUTED_VALUE"""),"")</f>
        <v/>
      </c>
      <c r="D36" s="176" t="str">
        <f ca="1">IFERROR(__xludf.DUMMYFUNCTION("""COMPUTED_VALUE"""),"")</f>
        <v/>
      </c>
      <c r="E36" s="176" t="str">
        <f ca="1">IFERROR(__xludf.DUMMYFUNCTION("""COMPUTED_VALUE"""),"")</f>
        <v/>
      </c>
      <c r="F36" s="177" t="str">
        <f ca="1">IFERROR(__xludf.DUMMYFUNCTION("""COMPUTED_VALUE"""),"")</f>
        <v/>
      </c>
      <c r="G36" s="178"/>
      <c r="H36" s="133"/>
    </row>
    <row r="37" spans="1:8" ht="14.4" x14ac:dyDescent="0.25">
      <c r="A37" s="133"/>
      <c r="B37" s="180" t="str">
        <f ca="1">IFERROR(__xludf.DUMMYFUNCTION("""COMPUTED_VALUE"""),"Total ")</f>
        <v xml:space="preserve">Total </v>
      </c>
      <c r="C37" s="180">
        <f ca="1">IFERROR(__xludf.DUMMYFUNCTION("""COMPUTED_VALUE"""),163)</f>
        <v>163</v>
      </c>
      <c r="D37" s="181">
        <f ca="1">IFERROR(__xludf.DUMMYFUNCTION("""COMPUTED_VALUE"""),2.546875)</f>
        <v>2.546875</v>
      </c>
      <c r="E37" s="182">
        <f ca="1">IFERROR(__xludf.DUMMYFUNCTION("""COMPUTED_VALUE"""),0.73772749367594)</f>
        <v>0.73772749367594004</v>
      </c>
      <c r="F37" s="180">
        <f ca="1">IFERROR(__xludf.DUMMYFUNCTION("""COMPUTED_VALUE"""),3.09)</f>
        <v>3.09</v>
      </c>
      <c r="G37" s="180"/>
      <c r="H37" s="133"/>
    </row>
    <row r="38" spans="1:8" ht="14.4" x14ac:dyDescent="0.25">
      <c r="A38" s="133"/>
      <c r="B38" s="133"/>
      <c r="C38" s="133"/>
      <c r="D38" s="167"/>
      <c r="E38" s="167"/>
      <c r="F38" s="133"/>
      <c r="G38" s="133"/>
      <c r="H38" s="133"/>
    </row>
    <row r="39" spans="1:8" ht="14.4" x14ac:dyDescent="0.25">
      <c r="A39" s="133"/>
      <c r="B39" s="133"/>
      <c r="C39" s="133"/>
      <c r="D39" s="167"/>
      <c r="E39" s="167"/>
      <c r="F39" s="133"/>
      <c r="G39" s="133"/>
      <c r="H39" s="133"/>
    </row>
    <row r="40" spans="1:8" ht="14.4" x14ac:dyDescent="0.25">
      <c r="A40" s="133"/>
      <c r="B40" s="183"/>
      <c r="C40" s="183"/>
      <c r="D40" s="184"/>
      <c r="E40" s="184"/>
      <c r="F40" s="183"/>
      <c r="G40" s="183"/>
      <c r="H40" s="133"/>
    </row>
    <row r="41" spans="1:8" ht="14.4" x14ac:dyDescent="0.25">
      <c r="A41" s="185"/>
      <c r="B41" s="315" t="str">
        <f ca="1">IFERROR(__xludf.DUMMYFUNCTION("""COMPUTED_VALUE"""),"Competency Achievement ")</f>
        <v xml:space="preserve">Competency Achievement </v>
      </c>
      <c r="C41" s="206"/>
      <c r="D41" s="206"/>
      <c r="E41" s="206"/>
      <c r="F41" s="206"/>
      <c r="G41" s="313"/>
      <c r="H41" s="133"/>
    </row>
    <row r="42" spans="1:8" ht="43.2" x14ac:dyDescent="0.25">
      <c r="A42" s="133"/>
      <c r="B42" s="318" t="str">
        <f ca="1">IFERROR(__xludf.DUMMYFUNCTION("""COMPUTED_VALUE"""),"Competency")</f>
        <v>Competency</v>
      </c>
      <c r="C42" s="304"/>
      <c r="D42" s="186" t="str">
        <f ca="1">IFERROR(__xludf.DUMMYFUNCTION("""COMPUTED_VALUE"""),"No. of items representing  Competency ")</f>
        <v xml:space="preserve">No. of items representing  Competency </v>
      </c>
      <c r="E42" s="186" t="str">
        <f ca="1">IFERROR(__xludf.DUMMYFUNCTION("""COMPUTED_VALUE"""),"Percentage of Competency in Assessment ")</f>
        <v xml:space="preserve">Percentage of Competency in Assessment </v>
      </c>
      <c r="F42" s="186" t="str">
        <f ca="1">IFERROR(__xludf.DUMMYFUNCTION("""COMPUTED_VALUE"""),"% of Competency  Achievement")</f>
        <v>% of Competency  Achievement</v>
      </c>
      <c r="G42" s="187" t="str">
        <f ca="1">IFERROR(__xludf.DUMMYFUNCTION("""COMPUTED_VALUE"""),"Action Plan")</f>
        <v>Action Plan</v>
      </c>
      <c r="H42" s="133"/>
    </row>
    <row r="43" spans="1:8" ht="14.4" x14ac:dyDescent="0.25">
      <c r="A43" s="133"/>
      <c r="B43" s="319" t="str">
        <f ca="1">IFERROR(__xludf.DUMMYFUNCTION("""COMPUTED_VALUE"""),"1.02.Hypothesis Driven Data Gathering to Diagnose")</f>
        <v>1.02.Hypothesis Driven Data Gathering to Diagnose</v>
      </c>
      <c r="C43" s="304"/>
      <c r="D43" s="175">
        <f ca="1">IFERROR(__xludf.DUMMYFUNCTION("""COMPUTED_VALUE"""),2)</f>
        <v>2</v>
      </c>
      <c r="E43" s="176">
        <f ca="1">IFERROR(__xludf.DUMMYFUNCTION("""COMPUTED_VALUE"""),0.03125)</f>
        <v>3.125E-2</v>
      </c>
      <c r="F43" s="176">
        <f ca="1">IFERROR(__xludf.DUMMYFUNCTION("""COMPUTED_VALUE"""),0.931179775280898)</f>
        <v>0.93117977528089801</v>
      </c>
      <c r="G43" s="188"/>
      <c r="H43" s="133"/>
    </row>
    <row r="44" spans="1:8" ht="14.4" x14ac:dyDescent="0.25">
      <c r="A44" s="133"/>
      <c r="B44" s="307" t="str">
        <f ca="1">IFERROR(__xludf.DUMMYFUNCTION("""COMPUTED_VALUE"""),"1.07.Selecting Clinical Interventions (Mixed Management)")</f>
        <v>1.07.Selecting Clinical Interventions (Mixed Management)</v>
      </c>
      <c r="C44" s="304"/>
      <c r="D44" s="175">
        <f ca="1">IFERROR(__xludf.DUMMYFUNCTION("""COMPUTED_VALUE"""),2)</f>
        <v>2</v>
      </c>
      <c r="E44" s="176">
        <f ca="1">IFERROR(__xludf.DUMMYFUNCTION("""COMPUTED_VALUE"""),0.03125)</f>
        <v>3.125E-2</v>
      </c>
      <c r="F44" s="176">
        <f ca="1">IFERROR(__xludf.DUMMYFUNCTION("""COMPUTED_VALUE"""),0.650749063670412)</f>
        <v>0.65074906367041196</v>
      </c>
      <c r="G44" s="188"/>
      <c r="H44" s="133"/>
    </row>
    <row r="45" spans="1:8" ht="14.4" x14ac:dyDescent="0.25">
      <c r="A45" s="133"/>
      <c r="B45" s="307" t="str">
        <f ca="1">IFERROR(__xludf.DUMMYFUNCTION("""COMPUTED_VALUE"""),"1.08.Prescribing and Pharmacotherapy")</f>
        <v>1.08.Prescribing and Pharmacotherapy</v>
      </c>
      <c r="C45" s="304"/>
      <c r="D45" s="175">
        <f ca="1">IFERROR(__xludf.DUMMYFUNCTION("""COMPUTED_VALUE"""),1)</f>
        <v>1</v>
      </c>
      <c r="E45" s="176">
        <f ca="1">IFERROR(__xludf.DUMMYFUNCTION("""COMPUTED_VALUE"""),0.015625)</f>
        <v>1.5625E-2</v>
      </c>
      <c r="F45" s="176">
        <f ca="1">IFERROR(__xludf.DUMMYFUNCTION("""COMPUTED_VALUE"""),0.528089887640449)</f>
        <v>0.52808988764044895</v>
      </c>
      <c r="G45" s="188"/>
      <c r="H45" s="133"/>
    </row>
    <row r="46" spans="1:8" ht="14.4" x14ac:dyDescent="0.25">
      <c r="A46" s="133"/>
      <c r="B46" s="307" t="str">
        <f ca="1">IFERROR(__xludf.DUMMYFUNCTION("""COMPUTED_VALUE"""),"2.01.Interviewing")</f>
        <v>2.01.Interviewing</v>
      </c>
      <c r="C46" s="304"/>
      <c r="D46" s="175">
        <f ca="1">IFERROR(__xludf.DUMMYFUNCTION("""COMPUTED_VALUE"""),1)</f>
        <v>1</v>
      </c>
      <c r="E46" s="176">
        <f ca="1">IFERROR(__xludf.DUMMYFUNCTION("""COMPUTED_VALUE"""),0.015625)</f>
        <v>1.5625E-2</v>
      </c>
      <c r="F46" s="176">
        <f ca="1">IFERROR(__xludf.DUMMYFUNCTION("""COMPUTED_VALUE"""),0.727126805778491)</f>
        <v>0.72712680577849098</v>
      </c>
      <c r="G46" s="188"/>
      <c r="H46" s="133"/>
    </row>
    <row r="47" spans="1:8" ht="14.4" x14ac:dyDescent="0.25">
      <c r="A47" s="133"/>
      <c r="B47" s="307" t="str">
        <f ca="1">IFERROR(__xludf.DUMMYFUNCTION("""COMPUTED_VALUE"""),"2.02.Communication in Special Situations")</f>
        <v>2.02.Communication in Special Situations</v>
      </c>
      <c r="C47" s="304"/>
      <c r="D47" s="175">
        <f ca="1">IFERROR(__xludf.DUMMYFUNCTION("""COMPUTED_VALUE"""),1)</f>
        <v>1</v>
      </c>
      <c r="E47" s="176">
        <f ca="1">IFERROR(__xludf.DUMMYFUNCTION("""COMPUTED_VALUE"""),0.015625)</f>
        <v>1.5625E-2</v>
      </c>
      <c r="F47" s="176">
        <f ca="1">IFERROR(__xludf.DUMMYFUNCTION("""COMPUTED_VALUE"""),0.762172284644194)</f>
        <v>0.76217228464419395</v>
      </c>
      <c r="G47" s="188"/>
      <c r="H47" s="133"/>
    </row>
    <row r="48" spans="1:8" ht="14.4" x14ac:dyDescent="0.25">
      <c r="A48" s="133"/>
      <c r="B48" s="307" t="str">
        <f ca="1">IFERROR(__xludf.DUMMYFUNCTION("""COMPUTED_VALUE"""),"2.05.Presenting")</f>
        <v>2.05.Presenting</v>
      </c>
      <c r="C48" s="304"/>
      <c r="D48" s="175">
        <f ca="1">IFERROR(__xludf.DUMMYFUNCTION("""COMPUTED_VALUE"""),1)</f>
        <v>1</v>
      </c>
      <c r="E48" s="176">
        <f ca="1">IFERROR(__xludf.DUMMYFUNCTION("""COMPUTED_VALUE"""),0.015625)</f>
        <v>1.5625E-2</v>
      </c>
      <c r="F48" s="176">
        <f ca="1">IFERROR(__xludf.DUMMYFUNCTION("""COMPUTED_VALUE"""),0.685393258426966)</f>
        <v>0.68539325842696597</v>
      </c>
      <c r="G48" s="188"/>
      <c r="H48" s="133"/>
    </row>
    <row r="49" spans="1:8" ht="14.4" x14ac:dyDescent="0.25">
      <c r="A49" s="133"/>
      <c r="B49" s="307"/>
      <c r="C49" s="304"/>
      <c r="D49" s="175" t="str">
        <f ca="1">IFERROR(__xludf.DUMMYFUNCTION("""COMPUTED_VALUE"""),"")</f>
        <v/>
      </c>
      <c r="E49" s="176" t="str">
        <f ca="1">IFERROR(__xludf.DUMMYFUNCTION("""COMPUTED_VALUE"""),"")</f>
        <v/>
      </c>
      <c r="F49" s="176" t="str">
        <f ca="1">IFERROR(__xludf.DUMMYFUNCTION("""COMPUTED_VALUE"""),"")</f>
        <v/>
      </c>
      <c r="G49" s="188"/>
      <c r="H49" s="133"/>
    </row>
    <row r="50" spans="1:8" ht="14.4" x14ac:dyDescent="0.25">
      <c r="A50" s="133"/>
      <c r="B50" s="307"/>
      <c r="C50" s="304"/>
      <c r="D50" s="175" t="str">
        <f ca="1">IFERROR(__xludf.DUMMYFUNCTION("""COMPUTED_VALUE"""),"")</f>
        <v/>
      </c>
      <c r="E50" s="176" t="str">
        <f ca="1">IFERROR(__xludf.DUMMYFUNCTION("""COMPUTED_VALUE"""),"")</f>
        <v/>
      </c>
      <c r="F50" s="176" t="str">
        <f ca="1">IFERROR(__xludf.DUMMYFUNCTION("""COMPUTED_VALUE"""),"")</f>
        <v/>
      </c>
      <c r="G50" s="188"/>
      <c r="H50" s="133"/>
    </row>
    <row r="51" spans="1:8" ht="14.4" x14ac:dyDescent="0.25">
      <c r="A51" s="133"/>
      <c r="B51" s="307"/>
      <c r="C51" s="304"/>
      <c r="D51" s="175" t="str">
        <f ca="1">IFERROR(__xludf.DUMMYFUNCTION("""COMPUTED_VALUE"""),"")</f>
        <v/>
      </c>
      <c r="E51" s="176" t="str">
        <f ca="1">IFERROR(__xludf.DUMMYFUNCTION("""COMPUTED_VALUE"""),"")</f>
        <v/>
      </c>
      <c r="F51" s="176" t="str">
        <f ca="1">IFERROR(__xludf.DUMMYFUNCTION("""COMPUTED_VALUE"""),"")</f>
        <v/>
      </c>
      <c r="G51" s="188"/>
      <c r="H51" s="133"/>
    </row>
    <row r="52" spans="1:8" ht="14.4" x14ac:dyDescent="0.25">
      <c r="A52" s="133"/>
      <c r="B52" s="307"/>
      <c r="C52" s="304"/>
      <c r="D52" s="175" t="str">
        <f ca="1">IFERROR(__xludf.DUMMYFUNCTION("""COMPUTED_VALUE"""),"")</f>
        <v/>
      </c>
      <c r="E52" s="176" t="str">
        <f ca="1">IFERROR(__xludf.DUMMYFUNCTION("""COMPUTED_VALUE"""),"")</f>
        <v/>
      </c>
      <c r="F52" s="176" t="str">
        <f ca="1">IFERROR(__xludf.DUMMYFUNCTION("""COMPUTED_VALUE"""),"")</f>
        <v/>
      </c>
      <c r="G52" s="188"/>
      <c r="H52" s="133"/>
    </row>
    <row r="53" spans="1:8" ht="14.4" x14ac:dyDescent="0.25">
      <c r="A53" s="133"/>
      <c r="B53" s="307"/>
      <c r="C53" s="304"/>
      <c r="D53" s="175" t="str">
        <f ca="1">IFERROR(__xludf.DUMMYFUNCTION("""COMPUTED_VALUE"""),"")</f>
        <v/>
      </c>
      <c r="E53" s="176" t="str">
        <f ca="1">IFERROR(__xludf.DUMMYFUNCTION("""COMPUTED_VALUE"""),"")</f>
        <v/>
      </c>
      <c r="F53" s="176" t="str">
        <f ca="1">IFERROR(__xludf.DUMMYFUNCTION("""COMPUTED_VALUE"""),"")</f>
        <v/>
      </c>
      <c r="G53" s="188"/>
      <c r="H53" s="133"/>
    </row>
    <row r="54" spans="1:8" ht="14.4" x14ac:dyDescent="0.25">
      <c r="A54" s="133"/>
      <c r="B54" s="307"/>
      <c r="C54" s="304"/>
      <c r="D54" s="175" t="str">
        <f ca="1">IFERROR(__xludf.DUMMYFUNCTION("""COMPUTED_VALUE"""),"")</f>
        <v/>
      </c>
      <c r="E54" s="176" t="str">
        <f ca="1">IFERROR(__xludf.DUMMYFUNCTION("""COMPUTED_VALUE"""),"")</f>
        <v/>
      </c>
      <c r="F54" s="176" t="str">
        <f ca="1">IFERROR(__xludf.DUMMYFUNCTION("""COMPUTED_VALUE"""),"")</f>
        <v/>
      </c>
      <c r="G54" s="188"/>
      <c r="H54" s="133"/>
    </row>
    <row r="55" spans="1:8" ht="14.4" x14ac:dyDescent="0.25">
      <c r="A55" s="133"/>
      <c r="B55" s="307"/>
      <c r="C55" s="304"/>
      <c r="D55" s="175" t="str">
        <f ca="1">IFERROR(__xludf.DUMMYFUNCTION("""COMPUTED_VALUE"""),"")</f>
        <v/>
      </c>
      <c r="E55" s="176" t="str">
        <f ca="1">IFERROR(__xludf.DUMMYFUNCTION("""COMPUTED_VALUE"""),"")</f>
        <v/>
      </c>
      <c r="F55" s="176" t="str">
        <f ca="1">IFERROR(__xludf.DUMMYFUNCTION("""COMPUTED_VALUE"""),"")</f>
        <v/>
      </c>
      <c r="G55" s="188"/>
      <c r="H55" s="133"/>
    </row>
    <row r="56" spans="1:8" ht="14.4" x14ac:dyDescent="0.25">
      <c r="A56" s="133"/>
      <c r="B56" s="307"/>
      <c r="C56" s="304"/>
      <c r="D56" s="175" t="str">
        <f ca="1">IFERROR(__xludf.DUMMYFUNCTION("""COMPUTED_VALUE"""),"")</f>
        <v/>
      </c>
      <c r="E56" s="176" t="str">
        <f ca="1">IFERROR(__xludf.DUMMYFUNCTION("""COMPUTED_VALUE"""),"")</f>
        <v/>
      </c>
      <c r="F56" s="176" t="str">
        <f ca="1">IFERROR(__xludf.DUMMYFUNCTION("""COMPUTED_VALUE"""),"")</f>
        <v/>
      </c>
      <c r="G56" s="188"/>
      <c r="H56" s="133"/>
    </row>
    <row r="57" spans="1:8" ht="14.4" x14ac:dyDescent="0.25">
      <c r="A57" s="133"/>
      <c r="B57" s="307"/>
      <c r="C57" s="304"/>
      <c r="D57" s="175" t="str">
        <f ca="1">IFERROR(__xludf.DUMMYFUNCTION("""COMPUTED_VALUE"""),"")</f>
        <v/>
      </c>
      <c r="E57" s="176" t="str">
        <f ca="1">IFERROR(__xludf.DUMMYFUNCTION("""COMPUTED_VALUE"""),"")</f>
        <v/>
      </c>
      <c r="F57" s="176" t="str">
        <f ca="1">IFERROR(__xludf.DUMMYFUNCTION("""COMPUTED_VALUE"""),"")</f>
        <v/>
      </c>
      <c r="G57" s="188"/>
      <c r="H57" s="133"/>
    </row>
    <row r="58" spans="1:8" ht="14.4" x14ac:dyDescent="0.25">
      <c r="A58" s="133"/>
      <c r="B58" s="307"/>
      <c r="C58" s="304"/>
      <c r="D58" s="175" t="str">
        <f ca="1">IFERROR(__xludf.DUMMYFUNCTION("""COMPUTED_VALUE"""),"")</f>
        <v/>
      </c>
      <c r="E58" s="176" t="str">
        <f ca="1">IFERROR(__xludf.DUMMYFUNCTION("""COMPUTED_VALUE"""),"")</f>
        <v/>
      </c>
      <c r="F58" s="176" t="str">
        <f ca="1">IFERROR(__xludf.DUMMYFUNCTION("""COMPUTED_VALUE"""),"")</f>
        <v/>
      </c>
      <c r="G58" s="188"/>
      <c r="H58" s="133"/>
    </row>
    <row r="59" spans="1:8" ht="14.4" x14ac:dyDescent="0.25">
      <c r="A59" s="133"/>
      <c r="B59" s="307"/>
      <c r="C59" s="304"/>
      <c r="D59" s="175" t="str">
        <f ca="1">IFERROR(__xludf.DUMMYFUNCTION("""COMPUTED_VALUE"""),"")</f>
        <v/>
      </c>
      <c r="E59" s="176" t="str">
        <f ca="1">IFERROR(__xludf.DUMMYFUNCTION("""COMPUTED_VALUE"""),"")</f>
        <v/>
      </c>
      <c r="F59" s="176" t="str">
        <f ca="1">IFERROR(__xludf.DUMMYFUNCTION("""COMPUTED_VALUE"""),"")</f>
        <v/>
      </c>
      <c r="G59" s="188"/>
      <c r="H59" s="133"/>
    </row>
    <row r="60" spans="1:8" ht="14.4" x14ac:dyDescent="0.25">
      <c r="A60" s="133"/>
      <c r="B60" s="307"/>
      <c r="C60" s="304"/>
      <c r="D60" s="175" t="str">
        <f ca="1">IFERROR(__xludf.DUMMYFUNCTION("""COMPUTED_VALUE"""),"")</f>
        <v/>
      </c>
      <c r="E60" s="176" t="str">
        <f ca="1">IFERROR(__xludf.DUMMYFUNCTION("""COMPUTED_VALUE"""),"")</f>
        <v/>
      </c>
      <c r="F60" s="176" t="str">
        <f ca="1">IFERROR(__xludf.DUMMYFUNCTION("""COMPUTED_VALUE"""),"")</f>
        <v/>
      </c>
      <c r="G60" s="188"/>
      <c r="H60" s="133"/>
    </row>
    <row r="61" spans="1:8" ht="14.4" x14ac:dyDescent="0.25">
      <c r="A61" s="133"/>
      <c r="B61" s="307"/>
      <c r="C61" s="304"/>
      <c r="D61" s="175" t="str">
        <f ca="1">IFERROR(__xludf.DUMMYFUNCTION("""COMPUTED_VALUE"""),"")</f>
        <v/>
      </c>
      <c r="E61" s="176" t="str">
        <f ca="1">IFERROR(__xludf.DUMMYFUNCTION("""COMPUTED_VALUE"""),"")</f>
        <v/>
      </c>
      <c r="F61" s="176" t="str">
        <f ca="1">IFERROR(__xludf.DUMMYFUNCTION("""COMPUTED_VALUE"""),"")</f>
        <v/>
      </c>
      <c r="G61" s="188"/>
      <c r="H61" s="133"/>
    </row>
    <row r="62" spans="1:8" ht="14.4" x14ac:dyDescent="0.25">
      <c r="A62" s="133"/>
      <c r="B62" s="307"/>
      <c r="C62" s="304"/>
      <c r="D62" s="175" t="str">
        <f ca="1">IFERROR(__xludf.DUMMYFUNCTION("""COMPUTED_VALUE"""),"")</f>
        <v/>
      </c>
      <c r="E62" s="176" t="str">
        <f ca="1">IFERROR(__xludf.DUMMYFUNCTION("""COMPUTED_VALUE"""),"")</f>
        <v/>
      </c>
      <c r="F62" s="176" t="str">
        <f ca="1">IFERROR(__xludf.DUMMYFUNCTION("""COMPUTED_VALUE"""),"")</f>
        <v/>
      </c>
      <c r="G62" s="188"/>
      <c r="H62" s="133"/>
    </row>
    <row r="63" spans="1:8" ht="14.4" x14ac:dyDescent="0.25">
      <c r="A63" s="133"/>
      <c r="B63" s="307"/>
      <c r="C63" s="304"/>
      <c r="D63" s="175" t="str">
        <f ca="1">IFERROR(__xludf.DUMMYFUNCTION("""COMPUTED_VALUE"""),"")</f>
        <v/>
      </c>
      <c r="E63" s="176" t="str">
        <f ca="1">IFERROR(__xludf.DUMMYFUNCTION("""COMPUTED_VALUE"""),"")</f>
        <v/>
      </c>
      <c r="F63" s="176" t="str">
        <f ca="1">IFERROR(__xludf.DUMMYFUNCTION("""COMPUTED_VALUE"""),"")</f>
        <v/>
      </c>
      <c r="G63" s="188"/>
      <c r="H63" s="133"/>
    </row>
    <row r="64" spans="1:8" ht="14.4" x14ac:dyDescent="0.25">
      <c r="A64" s="133"/>
      <c r="B64" s="307"/>
      <c r="C64" s="304"/>
      <c r="D64" s="175" t="str">
        <f ca="1">IFERROR(__xludf.DUMMYFUNCTION("""COMPUTED_VALUE"""),"")</f>
        <v/>
      </c>
      <c r="E64" s="176" t="str">
        <f ca="1">IFERROR(__xludf.DUMMYFUNCTION("""COMPUTED_VALUE"""),"")</f>
        <v/>
      </c>
      <c r="F64" s="176" t="str">
        <f ca="1">IFERROR(__xludf.DUMMYFUNCTION("""COMPUTED_VALUE"""),"")</f>
        <v/>
      </c>
      <c r="G64" s="188"/>
      <c r="H64" s="133"/>
    </row>
    <row r="65" spans="1:8" ht="14.4" x14ac:dyDescent="0.25">
      <c r="A65" s="133"/>
      <c r="B65" s="307"/>
      <c r="C65" s="304"/>
      <c r="D65" s="175" t="str">
        <f ca="1">IFERROR(__xludf.DUMMYFUNCTION("""COMPUTED_VALUE"""),"")</f>
        <v/>
      </c>
      <c r="E65" s="176" t="str">
        <f ca="1">IFERROR(__xludf.DUMMYFUNCTION("""COMPUTED_VALUE"""),"")</f>
        <v/>
      </c>
      <c r="F65" s="176" t="str">
        <f ca="1">IFERROR(__xludf.DUMMYFUNCTION("""COMPUTED_VALUE"""),"")</f>
        <v/>
      </c>
      <c r="G65" s="188"/>
      <c r="H65" s="133"/>
    </row>
    <row r="66" spans="1:8" ht="14.4" x14ac:dyDescent="0.25">
      <c r="A66" s="133"/>
      <c r="B66" s="307"/>
      <c r="C66" s="304"/>
      <c r="D66" s="175" t="str">
        <f ca="1">IFERROR(__xludf.DUMMYFUNCTION("""COMPUTED_VALUE"""),"")</f>
        <v/>
      </c>
      <c r="E66" s="176" t="str">
        <f ca="1">IFERROR(__xludf.DUMMYFUNCTION("""COMPUTED_VALUE"""),"")</f>
        <v/>
      </c>
      <c r="F66" s="176" t="str">
        <f ca="1">IFERROR(__xludf.DUMMYFUNCTION("""COMPUTED_VALUE"""),"")</f>
        <v/>
      </c>
      <c r="G66" s="188"/>
      <c r="H66" s="133"/>
    </row>
    <row r="67" spans="1:8" ht="14.4" x14ac:dyDescent="0.25">
      <c r="A67" s="133"/>
      <c r="B67" s="307"/>
      <c r="C67" s="304"/>
      <c r="D67" s="175" t="str">
        <f ca="1">IFERROR(__xludf.DUMMYFUNCTION("""COMPUTED_VALUE"""),"")</f>
        <v/>
      </c>
      <c r="E67" s="176" t="str">
        <f ca="1">IFERROR(__xludf.DUMMYFUNCTION("""COMPUTED_VALUE"""),"")</f>
        <v/>
      </c>
      <c r="F67" s="176" t="str">
        <f ca="1">IFERROR(__xludf.DUMMYFUNCTION("""COMPUTED_VALUE"""),"")</f>
        <v/>
      </c>
      <c r="G67" s="188"/>
      <c r="H67" s="133"/>
    </row>
    <row r="68" spans="1:8" ht="14.4" x14ac:dyDescent="0.25">
      <c r="A68" s="133"/>
      <c r="B68" s="307"/>
      <c r="C68" s="304"/>
      <c r="D68" s="175" t="str">
        <f ca="1">IFERROR(__xludf.DUMMYFUNCTION("""COMPUTED_VALUE"""),"")</f>
        <v/>
      </c>
      <c r="E68" s="176" t="str">
        <f ca="1">IFERROR(__xludf.DUMMYFUNCTION("""COMPUTED_VALUE"""),"")</f>
        <v/>
      </c>
      <c r="F68" s="176" t="str">
        <f ca="1">IFERROR(__xludf.DUMMYFUNCTION("""COMPUTED_VALUE"""),"")</f>
        <v/>
      </c>
      <c r="G68" s="188"/>
      <c r="H68" s="133"/>
    </row>
    <row r="69" spans="1:8" ht="14.4" x14ac:dyDescent="0.25">
      <c r="A69" s="133"/>
      <c r="B69" s="307"/>
      <c r="C69" s="304"/>
      <c r="D69" s="175" t="str">
        <f ca="1">IFERROR(__xludf.DUMMYFUNCTION("""COMPUTED_VALUE"""),"")</f>
        <v/>
      </c>
      <c r="E69" s="176" t="str">
        <f ca="1">IFERROR(__xludf.DUMMYFUNCTION("""COMPUTED_VALUE"""),"")</f>
        <v/>
      </c>
      <c r="F69" s="176" t="str">
        <f ca="1">IFERROR(__xludf.DUMMYFUNCTION("""COMPUTED_VALUE"""),"")</f>
        <v/>
      </c>
      <c r="G69" s="188"/>
      <c r="H69" s="133"/>
    </row>
    <row r="70" spans="1:8" ht="14.4" x14ac:dyDescent="0.25">
      <c r="A70" s="133"/>
      <c r="B70" s="307"/>
      <c r="C70" s="304"/>
      <c r="D70" s="175" t="str">
        <f ca="1">IFERROR(__xludf.DUMMYFUNCTION("""COMPUTED_VALUE"""),"")</f>
        <v/>
      </c>
      <c r="E70" s="176" t="str">
        <f ca="1">IFERROR(__xludf.DUMMYFUNCTION("""COMPUTED_VALUE"""),"")</f>
        <v/>
      </c>
      <c r="F70" s="176" t="str">
        <f ca="1">IFERROR(__xludf.DUMMYFUNCTION("""COMPUTED_VALUE"""),"")</f>
        <v/>
      </c>
      <c r="G70" s="188"/>
      <c r="H70" s="133"/>
    </row>
    <row r="71" spans="1:8" ht="14.4" x14ac:dyDescent="0.25">
      <c r="A71" s="133"/>
      <c r="B71" s="307"/>
      <c r="C71" s="304"/>
      <c r="D71" s="175" t="str">
        <f ca="1">IFERROR(__xludf.DUMMYFUNCTION("""COMPUTED_VALUE"""),"")</f>
        <v/>
      </c>
      <c r="E71" s="176" t="str">
        <f ca="1">IFERROR(__xludf.DUMMYFUNCTION("""COMPUTED_VALUE"""),"")</f>
        <v/>
      </c>
      <c r="F71" s="176" t="str">
        <f ca="1">IFERROR(__xludf.DUMMYFUNCTION("""COMPUTED_VALUE"""),"")</f>
        <v/>
      </c>
      <c r="G71" s="188"/>
      <c r="H71" s="133"/>
    </row>
    <row r="72" spans="1:8" ht="14.4" x14ac:dyDescent="0.25">
      <c r="A72" s="133"/>
      <c r="B72" s="189"/>
      <c r="C72" s="189"/>
      <c r="D72" s="167"/>
      <c r="E72" s="167"/>
      <c r="F72" s="133"/>
      <c r="G72" s="133"/>
      <c r="H72" s="133"/>
    </row>
    <row r="73" spans="1:8" ht="14.4" x14ac:dyDescent="0.25">
      <c r="A73" s="133"/>
      <c r="B73" s="183"/>
      <c r="C73" s="183"/>
      <c r="D73" s="184"/>
      <c r="E73" s="184"/>
      <c r="F73" s="183"/>
      <c r="G73" s="183"/>
      <c r="H73" s="133"/>
    </row>
    <row r="74" spans="1:8" ht="14.4" x14ac:dyDescent="0.25">
      <c r="A74" s="185"/>
      <c r="B74" s="315" t="str">
        <f ca="1">IFERROR(__xludf.DUMMYFUNCTION("""COMPUTED_VALUE"""),"Graduate Attributes Achievement ")</f>
        <v xml:space="preserve">Graduate Attributes Achievement </v>
      </c>
      <c r="C74" s="206"/>
      <c r="D74" s="206"/>
      <c r="E74" s="206"/>
      <c r="F74" s="206"/>
      <c r="G74" s="313"/>
      <c r="H74" s="133"/>
    </row>
    <row r="75" spans="1:8" ht="28.8" x14ac:dyDescent="0.25">
      <c r="A75" s="133"/>
      <c r="B75" s="316" t="str">
        <f ca="1">IFERROR(__xludf.DUMMYFUNCTION("""COMPUTED_VALUE"""),"Graduate Attributes")</f>
        <v>Graduate Attributes</v>
      </c>
      <c r="C75" s="304"/>
      <c r="D75" s="186" t="str">
        <f ca="1">IFERROR(__xludf.DUMMYFUNCTION("""COMPUTED_VALUE"""),"No. of items representing  GA ")</f>
        <v xml:space="preserve">No. of items representing  GA </v>
      </c>
      <c r="E75" s="186" t="str">
        <f ca="1">IFERROR(__xludf.DUMMYFUNCTION("""COMPUTED_VALUE"""),"Percentage of GA in Assessment ")</f>
        <v xml:space="preserve">Percentage of GA in Assessment </v>
      </c>
      <c r="F75" s="186" t="str">
        <f ca="1">IFERROR(__xludf.DUMMYFUNCTION("""COMPUTED_VALUE"""),"% of GA  Achievement")</f>
        <v>% of GA  Achievement</v>
      </c>
      <c r="G75" s="187" t="str">
        <f ca="1">IFERROR(__xludf.DUMMYFUNCTION("""COMPUTED_VALUE"""),"Action Plan")</f>
        <v>Action Plan</v>
      </c>
      <c r="H75" s="133"/>
    </row>
    <row r="76" spans="1:8" ht="14.4" x14ac:dyDescent="0.25">
      <c r="A76" s="133"/>
      <c r="B76" s="317" t="str">
        <f ca="1">IFERROR(__xludf.DUMMYFUNCTION("""COMPUTED_VALUE"""),"03. Self-aware awareness")</f>
        <v>03. Self-aware awareness</v>
      </c>
      <c r="C76" s="304"/>
      <c r="D76" s="175">
        <f ca="1">IFERROR(__xludf.DUMMYFUNCTION("""COMPUTED_VALUE"""),1)</f>
        <v>1</v>
      </c>
      <c r="E76" s="176">
        <f ca="1">IFERROR(__xludf.DUMMYFUNCTION("""COMPUTED_VALUE"""),0.015625)</f>
        <v>1.5625E-2</v>
      </c>
      <c r="F76" s="176">
        <f ca="1">IFERROR(__xludf.DUMMYFUNCTION("""COMPUTED_VALUE"""),0.601123595505618)</f>
        <v>0.601123595505618</v>
      </c>
      <c r="G76" s="188"/>
      <c r="H76" s="133"/>
    </row>
    <row r="77" spans="1:8" ht="14.4" x14ac:dyDescent="0.25">
      <c r="A77" s="133"/>
      <c r="B77" s="308" t="str">
        <f ca="1">IFERROR(__xludf.DUMMYFUNCTION("""COMPUTED_VALUE"""),"04. Initiative")</f>
        <v>04. Initiative</v>
      </c>
      <c r="C77" s="304"/>
      <c r="D77" s="175">
        <f ca="1">IFERROR(__xludf.DUMMYFUNCTION("""COMPUTED_VALUE"""),2)</f>
        <v>2</v>
      </c>
      <c r="E77" s="176">
        <f ca="1">IFERROR(__xludf.DUMMYFUNCTION("""COMPUTED_VALUE"""),0.03125)</f>
        <v>3.125E-2</v>
      </c>
      <c r="F77" s="176">
        <f ca="1">IFERROR(__xludf.DUMMYFUNCTION("""COMPUTED_VALUE"""),0.931179775280898)</f>
        <v>0.93117977528089801</v>
      </c>
      <c r="G77" s="188"/>
      <c r="H77" s="133"/>
    </row>
    <row r="78" spans="1:8" ht="14.4" x14ac:dyDescent="0.25">
      <c r="A78" s="133"/>
      <c r="B78" s="308" t="str">
        <f ca="1">IFERROR(__xludf.DUMMYFUNCTION("""COMPUTED_VALUE"""),"05. Interprofessional Communication.")</f>
        <v>05. Interprofessional Communication.</v>
      </c>
      <c r="C78" s="304"/>
      <c r="D78" s="175">
        <f ca="1">IFERROR(__xludf.DUMMYFUNCTION("""COMPUTED_VALUE"""),1)</f>
        <v>1</v>
      </c>
      <c r="E78" s="176">
        <f ca="1">IFERROR(__xludf.DUMMYFUNCTION("""COMPUTED_VALUE"""),0.015625)</f>
        <v>1.5625E-2</v>
      </c>
      <c r="F78" s="176">
        <f ca="1">IFERROR(__xludf.DUMMYFUNCTION("""COMPUTED_VALUE"""),0.762172284644194)</f>
        <v>0.76217228464419395</v>
      </c>
      <c r="G78" s="188"/>
      <c r="H78" s="133"/>
    </row>
    <row r="79" spans="1:8" ht="14.4" x14ac:dyDescent="0.25">
      <c r="A79" s="133"/>
      <c r="B79" s="308" t="str">
        <f ca="1">IFERROR(__xludf.DUMMYFUNCTION("""COMPUTED_VALUE"""),"06. Leadership and collaboration")</f>
        <v>06. Leadership and collaboration</v>
      </c>
      <c r="C79" s="304"/>
      <c r="D79" s="175">
        <f ca="1">IFERROR(__xludf.DUMMYFUNCTION("""COMPUTED_VALUE"""),1)</f>
        <v>1</v>
      </c>
      <c r="E79" s="176">
        <f ca="1">IFERROR(__xludf.DUMMYFUNCTION("""COMPUTED_VALUE"""),0.015625)</f>
        <v>1.5625E-2</v>
      </c>
      <c r="F79" s="176">
        <f ca="1">IFERROR(__xludf.DUMMYFUNCTION("""COMPUTED_VALUE"""),0.727126805778491)</f>
        <v>0.72712680577849098</v>
      </c>
      <c r="G79" s="188"/>
      <c r="H79" s="133"/>
    </row>
    <row r="80" spans="1:8" ht="14.4" x14ac:dyDescent="0.25">
      <c r="A80" s="133"/>
      <c r="B80" s="308" t="str">
        <f ca="1">IFERROR(__xludf.DUMMYFUNCTION("""COMPUTED_VALUE"""),"09. Health advocate")</f>
        <v>09. Health advocate</v>
      </c>
      <c r="C80" s="304"/>
      <c r="D80" s="175">
        <f ca="1">IFERROR(__xludf.DUMMYFUNCTION("""COMPUTED_VALUE"""),1)</f>
        <v>1</v>
      </c>
      <c r="E80" s="176">
        <f ca="1">IFERROR(__xludf.DUMMYFUNCTION("""COMPUTED_VALUE"""),0.015625)</f>
        <v>1.5625E-2</v>
      </c>
      <c r="F80" s="176">
        <f ca="1">IFERROR(__xludf.DUMMYFUNCTION("""COMPUTED_VALUE"""),0.528089887640449)</f>
        <v>0.52808988764044895</v>
      </c>
      <c r="G80" s="188"/>
      <c r="H80" s="133"/>
    </row>
    <row r="81" spans="1:8" ht="14.4" x14ac:dyDescent="0.25">
      <c r="A81" s="133"/>
      <c r="B81" s="308" t="str">
        <f ca="1">IFERROR(__xludf.DUMMYFUNCTION("""COMPUTED_VALUE"""),"11. Teamwork")</f>
        <v>11. Teamwork</v>
      </c>
      <c r="C81" s="304"/>
      <c r="D81" s="175">
        <f ca="1">IFERROR(__xludf.DUMMYFUNCTION("""COMPUTED_VALUE"""),2)</f>
        <v>2</v>
      </c>
      <c r="E81" s="176">
        <f ca="1">IFERROR(__xludf.DUMMYFUNCTION("""COMPUTED_VALUE"""),0.03125)</f>
        <v>3.125E-2</v>
      </c>
      <c r="F81" s="176">
        <f ca="1">IFERROR(__xludf.DUMMYFUNCTION("""COMPUTED_VALUE"""),0.692883895131086)</f>
        <v>0.69288389513108595</v>
      </c>
      <c r="G81" s="188"/>
      <c r="H81" s="133"/>
    </row>
    <row r="82" spans="1:8" ht="14.4" x14ac:dyDescent="0.25">
      <c r="A82" s="133"/>
      <c r="B82" s="308"/>
      <c r="C82" s="304"/>
      <c r="D82" s="175" t="str">
        <f ca="1">IFERROR(__xludf.DUMMYFUNCTION("""COMPUTED_VALUE"""),"")</f>
        <v/>
      </c>
      <c r="E82" s="176" t="str">
        <f ca="1">IFERROR(__xludf.DUMMYFUNCTION("""COMPUTED_VALUE"""),"")</f>
        <v/>
      </c>
      <c r="F82" s="176" t="str">
        <f ca="1">IFERROR(__xludf.DUMMYFUNCTION("""COMPUTED_VALUE"""),"")</f>
        <v/>
      </c>
      <c r="G82" s="188"/>
      <c r="H82" s="133"/>
    </row>
    <row r="83" spans="1:8" ht="14.4" x14ac:dyDescent="0.25">
      <c r="A83" s="133"/>
      <c r="B83" s="308"/>
      <c r="C83" s="304"/>
      <c r="D83" s="175" t="str">
        <f ca="1">IFERROR(__xludf.DUMMYFUNCTION("""COMPUTED_VALUE"""),"")</f>
        <v/>
      </c>
      <c r="E83" s="176" t="str">
        <f ca="1">IFERROR(__xludf.DUMMYFUNCTION("""COMPUTED_VALUE"""),"")</f>
        <v/>
      </c>
      <c r="F83" s="176" t="str">
        <f ca="1">IFERROR(__xludf.DUMMYFUNCTION("""COMPUTED_VALUE"""),"")</f>
        <v/>
      </c>
      <c r="G83" s="188"/>
      <c r="H83" s="133"/>
    </row>
    <row r="84" spans="1:8" ht="14.4" x14ac:dyDescent="0.25">
      <c r="A84" s="133"/>
      <c r="B84" s="308"/>
      <c r="C84" s="304"/>
      <c r="D84" s="175" t="str">
        <f ca="1">IFERROR(__xludf.DUMMYFUNCTION("""COMPUTED_VALUE"""),"")</f>
        <v/>
      </c>
      <c r="E84" s="176" t="str">
        <f ca="1">IFERROR(__xludf.DUMMYFUNCTION("""COMPUTED_VALUE"""),"")</f>
        <v/>
      </c>
      <c r="F84" s="176" t="str">
        <f ca="1">IFERROR(__xludf.DUMMYFUNCTION("""COMPUTED_VALUE"""),"")</f>
        <v/>
      </c>
      <c r="G84" s="188"/>
      <c r="H84" s="133"/>
    </row>
    <row r="85" spans="1:8" ht="14.4" x14ac:dyDescent="0.25">
      <c r="A85" s="133"/>
      <c r="B85" s="308"/>
      <c r="C85" s="304"/>
      <c r="D85" s="175" t="str">
        <f ca="1">IFERROR(__xludf.DUMMYFUNCTION("""COMPUTED_VALUE"""),"")</f>
        <v/>
      </c>
      <c r="E85" s="176" t="str">
        <f ca="1">IFERROR(__xludf.DUMMYFUNCTION("""COMPUTED_VALUE"""),"")</f>
        <v/>
      </c>
      <c r="F85" s="176" t="str">
        <f ca="1">IFERROR(__xludf.DUMMYFUNCTION("""COMPUTED_VALUE"""),"")</f>
        <v/>
      </c>
      <c r="G85" s="188"/>
      <c r="H85" s="133"/>
    </row>
    <row r="86" spans="1:8" ht="14.4" x14ac:dyDescent="0.25">
      <c r="A86" s="133"/>
      <c r="B86" s="308"/>
      <c r="C86" s="304"/>
      <c r="D86" s="175" t="str">
        <f ca="1">IFERROR(__xludf.DUMMYFUNCTION("""COMPUTED_VALUE"""),"")</f>
        <v/>
      </c>
      <c r="E86" s="176" t="str">
        <f ca="1">IFERROR(__xludf.DUMMYFUNCTION("""COMPUTED_VALUE"""),"")</f>
        <v/>
      </c>
      <c r="F86" s="176" t="str">
        <f ca="1">IFERROR(__xludf.DUMMYFUNCTION("""COMPUTED_VALUE"""),"")</f>
        <v/>
      </c>
      <c r="G86" s="188"/>
      <c r="H86" s="133"/>
    </row>
    <row r="87" spans="1:8" ht="14.4" x14ac:dyDescent="0.25">
      <c r="A87" s="133"/>
      <c r="B87" s="308"/>
      <c r="C87" s="304"/>
      <c r="D87" s="175" t="str">
        <f ca="1">IFERROR(__xludf.DUMMYFUNCTION("""COMPUTED_VALUE"""),"")</f>
        <v/>
      </c>
      <c r="E87" s="176" t="str">
        <f ca="1">IFERROR(__xludf.DUMMYFUNCTION("""COMPUTED_VALUE"""),"")</f>
        <v/>
      </c>
      <c r="F87" s="176" t="str">
        <f ca="1">IFERROR(__xludf.DUMMYFUNCTION("""COMPUTED_VALUE"""),"")</f>
        <v/>
      </c>
      <c r="G87" s="188"/>
      <c r="H87" s="133"/>
    </row>
    <row r="88" spans="1:8" ht="14.4" x14ac:dyDescent="0.25">
      <c r="A88" s="133"/>
      <c r="B88" s="133"/>
      <c r="C88" s="133"/>
      <c r="D88" s="167"/>
      <c r="E88" s="167"/>
      <c r="F88" s="133"/>
      <c r="G88" s="133"/>
      <c r="H88" s="133"/>
    </row>
    <row r="89" spans="1:8" ht="14.4" x14ac:dyDescent="0.25">
      <c r="A89" s="133"/>
      <c r="B89" s="190"/>
      <c r="C89" s="190"/>
      <c r="D89" s="191"/>
      <c r="E89" s="191"/>
      <c r="F89" s="190"/>
      <c r="G89" s="190"/>
      <c r="H89" s="133"/>
    </row>
    <row r="90" spans="1:8" ht="14.4" x14ac:dyDescent="0.25">
      <c r="A90" s="192"/>
      <c r="B90" s="309" t="str">
        <f ca="1">IFERROR(__xludf.DUMMYFUNCTION("""COMPUTED_VALUE"""),"Discipline Achievement ")</f>
        <v xml:space="preserve">Discipline Achievement </v>
      </c>
      <c r="C90" s="310"/>
      <c r="D90" s="310"/>
      <c r="E90" s="310"/>
      <c r="F90" s="310"/>
      <c r="G90" s="311"/>
      <c r="H90" s="133"/>
    </row>
    <row r="91" spans="1:8" ht="28.8" x14ac:dyDescent="0.25">
      <c r="A91" s="185"/>
      <c r="B91" s="312" t="str">
        <f ca="1">IFERROR(__xludf.DUMMYFUNCTION("""COMPUTED_VALUE"""),"Main Discipline ")</f>
        <v xml:space="preserve">Main Discipline </v>
      </c>
      <c r="C91" s="313"/>
      <c r="D91" s="193" t="str">
        <f ca="1">IFERROR(__xludf.DUMMYFUNCTION("""COMPUTED_VALUE"""),"% of Discipline Achievement")</f>
        <v>% of Discipline Achievement</v>
      </c>
      <c r="E91" s="193" t="str">
        <f ca="1">IFERROR(__xludf.DUMMYFUNCTION("""COMPUTED_VALUE"""),"Support Discipline ")</f>
        <v xml:space="preserve">Support Discipline </v>
      </c>
      <c r="F91" s="193" t="str">
        <f ca="1">IFERROR(__xludf.DUMMYFUNCTION("""COMPUTED_VALUE"""),"% of Discipline Achievement")</f>
        <v>% of Discipline Achievement</v>
      </c>
      <c r="G91" s="194" t="str">
        <f ca="1">IFERROR(__xludf.DUMMYFUNCTION("""COMPUTED_VALUE"""),"Action Plan")</f>
        <v>Action Plan</v>
      </c>
      <c r="H91" s="133"/>
    </row>
    <row r="92" spans="1:8" ht="14.4" x14ac:dyDescent="0.25">
      <c r="A92" s="133"/>
      <c r="B92" s="314" t="str">
        <f ca="1">IFERROR(__xludf.DUMMYFUNCTION("""COMPUTED_VALUE"""),"Family Medicine ")</f>
        <v xml:space="preserve">Family Medicine </v>
      </c>
      <c r="C92" s="304"/>
      <c r="D92" s="176">
        <f ca="1">IFERROR(__xludf.DUMMYFUNCTION("""COMPUTED_VALUE"""),0.803786933000416)</f>
        <v>0.80378693300041604</v>
      </c>
      <c r="E92" s="195" t="str">
        <f ca="1">IFERROR(__xludf.DUMMYFUNCTION("""COMPUTED_VALUE"""),"Gastroenterology")</f>
        <v>Gastroenterology</v>
      </c>
      <c r="F92" s="176">
        <f ca="1">IFERROR(__xludf.DUMMYFUNCTION("""COMPUTED_VALUE"""),0.799144763242375)</f>
        <v>0.79914476324237504</v>
      </c>
      <c r="G92" s="175"/>
      <c r="H92" s="133"/>
    </row>
    <row r="93" spans="1:8" ht="14.4" x14ac:dyDescent="0.25">
      <c r="A93" s="133"/>
      <c r="B93" s="307" t="str">
        <f ca="1">IFERROR(__xludf.DUMMYFUNCTION("""COMPUTED_VALUE"""),"General Surgery")</f>
        <v>General Surgery</v>
      </c>
      <c r="C93" s="304"/>
      <c r="D93" s="176">
        <f ca="1">IFERROR(__xludf.DUMMYFUNCTION("""COMPUTED_VALUE"""),0.773170958661921)</f>
        <v>0.77317095866192098</v>
      </c>
      <c r="E93" s="195" t="str">
        <f ca="1">IFERROR(__xludf.DUMMYFUNCTION("""COMPUTED_VALUE"""),"GASTROENTEROLOGY")</f>
        <v>GASTROENTEROLOGY</v>
      </c>
      <c r="F93" s="176">
        <f ca="1">IFERROR(__xludf.DUMMYFUNCTION("""COMPUTED_VALUE"""),0.799144763242375)</f>
        <v>0.79914476324237504</v>
      </c>
      <c r="G93" s="175"/>
      <c r="H93" s="133"/>
    </row>
    <row r="94" spans="1:8" ht="14.4" x14ac:dyDescent="0.25">
      <c r="A94" s="133"/>
      <c r="B94" s="307" t="str">
        <f ca="1">IFERROR(__xludf.DUMMYFUNCTION("""COMPUTED_VALUE"""),"Internal Medicine")</f>
        <v>Internal Medicine</v>
      </c>
      <c r="C94" s="304"/>
      <c r="D94" s="176">
        <f ca="1">IFERROR(__xludf.DUMMYFUNCTION("""COMPUTED_VALUE"""),0.751966292134831)</f>
        <v>0.75196629213483102</v>
      </c>
      <c r="E94" s="195" t="str">
        <f ca="1">IFERROR(__xludf.DUMMYFUNCTION("""COMPUTED_VALUE"""),"Nephrology")</f>
        <v>Nephrology</v>
      </c>
      <c r="F94" s="176">
        <f ca="1">IFERROR(__xludf.DUMMYFUNCTION("""COMPUTED_VALUE"""),0.733311302048909)</f>
        <v>0.73331130204890904</v>
      </c>
      <c r="G94" s="175"/>
      <c r="H94" s="133"/>
    </row>
    <row r="95" spans="1:8" ht="14.4" x14ac:dyDescent="0.25">
      <c r="A95" s="133"/>
      <c r="B95" s="307" t="str">
        <f ca="1">IFERROR(__xludf.DUMMYFUNCTION("""COMPUTED_VALUE"""),"Radiology")</f>
        <v>Radiology</v>
      </c>
      <c r="C95" s="304"/>
      <c r="D95" s="176">
        <f ca="1">IFERROR(__xludf.DUMMYFUNCTION("""COMPUTED_VALUE"""),0.401997503121098)</f>
        <v>0.401997503121098</v>
      </c>
      <c r="E95" s="195" t="str">
        <f ca="1">IFERROR(__xludf.DUMMYFUNCTION("""COMPUTED_VALUE"""),"Neurology")</f>
        <v>Neurology</v>
      </c>
      <c r="F95" s="176">
        <f ca="1">IFERROR(__xludf.DUMMYFUNCTION("""COMPUTED_VALUE"""),0.658859615136252)</f>
        <v>0.65885961513625202</v>
      </c>
      <c r="G95" s="175"/>
      <c r="H95" s="133"/>
    </row>
    <row r="96" spans="1:8" ht="14.4" x14ac:dyDescent="0.25">
      <c r="A96" s="133"/>
      <c r="B96" s="307"/>
      <c r="C96" s="304"/>
      <c r="D96" s="176" t="str">
        <f ca="1">IFERROR(__xludf.DUMMYFUNCTION("""COMPUTED_VALUE"""),"")</f>
        <v/>
      </c>
      <c r="E96" s="195" t="str">
        <f ca="1">IFERROR(__xludf.DUMMYFUNCTION("""COMPUTED_VALUE"""),"Urology")</f>
        <v>Urology</v>
      </c>
      <c r="F96" s="176">
        <f ca="1">IFERROR(__xludf.DUMMYFUNCTION("""COMPUTED_VALUE"""),0.797191011235955)</f>
        <v>0.79719101123595504</v>
      </c>
      <c r="G96" s="175"/>
      <c r="H96" s="133"/>
    </row>
    <row r="97" spans="1:8" ht="14.4" x14ac:dyDescent="0.25">
      <c r="A97" s="133"/>
      <c r="B97" s="307"/>
      <c r="C97" s="304"/>
      <c r="D97" s="176" t="str">
        <f ca="1">IFERROR(__xludf.DUMMYFUNCTION("""COMPUTED_VALUE"""),"")</f>
        <v/>
      </c>
      <c r="E97" s="195"/>
      <c r="F97" s="176" t="str">
        <f ca="1">IFERROR(__xludf.DUMMYFUNCTION("""COMPUTED_VALUE"""),"")</f>
        <v/>
      </c>
      <c r="G97" s="175"/>
      <c r="H97" s="133"/>
    </row>
    <row r="98" spans="1:8" ht="14.4" x14ac:dyDescent="0.25">
      <c r="A98" s="133"/>
      <c r="B98" s="307"/>
      <c r="C98" s="304"/>
      <c r="D98" s="176" t="str">
        <f ca="1">IFERROR(__xludf.DUMMYFUNCTION("""COMPUTED_VALUE"""),"")</f>
        <v/>
      </c>
      <c r="E98" s="195"/>
      <c r="F98" s="176" t="str">
        <f ca="1">IFERROR(__xludf.DUMMYFUNCTION("""COMPUTED_VALUE"""),"")</f>
        <v/>
      </c>
      <c r="G98" s="175"/>
      <c r="H98" s="133"/>
    </row>
    <row r="99" spans="1:8" ht="14.4" x14ac:dyDescent="0.25">
      <c r="A99" s="133"/>
      <c r="B99" s="307"/>
      <c r="C99" s="304"/>
      <c r="D99" s="176" t="str">
        <f ca="1">IFERROR(__xludf.DUMMYFUNCTION("""COMPUTED_VALUE"""),"")</f>
        <v/>
      </c>
      <c r="E99" s="195"/>
      <c r="F99" s="176" t="str">
        <f ca="1">IFERROR(__xludf.DUMMYFUNCTION("""COMPUTED_VALUE"""),"")</f>
        <v/>
      </c>
      <c r="G99" s="175"/>
      <c r="H99" s="133"/>
    </row>
    <row r="100" spans="1:8" ht="14.4" x14ac:dyDescent="0.25">
      <c r="A100" s="133"/>
      <c r="B100" s="307"/>
      <c r="C100" s="304"/>
      <c r="D100" s="176" t="str">
        <f ca="1">IFERROR(__xludf.DUMMYFUNCTION("""COMPUTED_VALUE"""),"")</f>
        <v/>
      </c>
      <c r="E100" s="195"/>
      <c r="F100" s="176" t="str">
        <f ca="1">IFERROR(__xludf.DUMMYFUNCTION("""COMPUTED_VALUE"""),"")</f>
        <v/>
      </c>
      <c r="G100" s="175"/>
      <c r="H100" s="133"/>
    </row>
    <row r="101" spans="1:8" ht="14.4" x14ac:dyDescent="0.25">
      <c r="A101" s="133"/>
      <c r="B101" s="307"/>
      <c r="C101" s="304"/>
      <c r="D101" s="176" t="str">
        <f ca="1">IFERROR(__xludf.DUMMYFUNCTION("""COMPUTED_VALUE"""),"")</f>
        <v/>
      </c>
      <c r="E101" s="195"/>
      <c r="F101" s="176" t="str">
        <f ca="1">IFERROR(__xludf.DUMMYFUNCTION("""COMPUTED_VALUE"""),"")</f>
        <v/>
      </c>
      <c r="G101" s="175"/>
      <c r="H101" s="133"/>
    </row>
    <row r="102" spans="1:8" ht="14.4" x14ac:dyDescent="0.25">
      <c r="A102" s="133"/>
      <c r="B102" s="307"/>
      <c r="C102" s="304"/>
      <c r="D102" s="176" t="str">
        <f ca="1">IFERROR(__xludf.DUMMYFUNCTION("""COMPUTED_VALUE"""),"")</f>
        <v/>
      </c>
      <c r="E102" s="195"/>
      <c r="F102" s="176" t="str">
        <f ca="1">IFERROR(__xludf.DUMMYFUNCTION("""COMPUTED_VALUE"""),"")</f>
        <v/>
      </c>
      <c r="G102" s="175"/>
      <c r="H102" s="133"/>
    </row>
    <row r="103" spans="1:8" ht="14.4" x14ac:dyDescent="0.25">
      <c r="A103" s="133"/>
      <c r="B103" s="307"/>
      <c r="C103" s="304"/>
      <c r="D103" s="176" t="str">
        <f ca="1">IFERROR(__xludf.DUMMYFUNCTION("""COMPUTED_VALUE"""),"")</f>
        <v/>
      </c>
      <c r="E103" s="195"/>
      <c r="F103" s="176" t="str">
        <f ca="1">IFERROR(__xludf.DUMMYFUNCTION("""COMPUTED_VALUE"""),"")</f>
        <v/>
      </c>
      <c r="G103" s="175"/>
      <c r="H103" s="133"/>
    </row>
    <row r="104" spans="1:8" ht="14.4" x14ac:dyDescent="0.25">
      <c r="A104" s="133"/>
      <c r="B104" s="307"/>
      <c r="C104" s="304"/>
      <c r="D104" s="176" t="str">
        <f ca="1">IFERROR(__xludf.DUMMYFUNCTION("""COMPUTED_VALUE"""),"")</f>
        <v/>
      </c>
      <c r="E104" s="195"/>
      <c r="F104" s="176" t="str">
        <f ca="1">IFERROR(__xludf.DUMMYFUNCTION("""COMPUTED_VALUE"""),"")</f>
        <v/>
      </c>
      <c r="G104" s="175"/>
      <c r="H104" s="133"/>
    </row>
    <row r="105" spans="1:8" ht="14.4" x14ac:dyDescent="0.25">
      <c r="A105" s="133"/>
      <c r="B105" s="307"/>
      <c r="C105" s="304"/>
      <c r="D105" s="176" t="str">
        <f ca="1">IFERROR(__xludf.DUMMYFUNCTION("""COMPUTED_VALUE"""),"")</f>
        <v/>
      </c>
      <c r="E105" s="195"/>
      <c r="F105" s="176" t="str">
        <f ca="1">IFERROR(__xludf.DUMMYFUNCTION("""COMPUTED_VALUE"""),"")</f>
        <v/>
      </c>
      <c r="G105" s="175"/>
      <c r="H105" s="133"/>
    </row>
    <row r="106" spans="1:8" ht="14.4" x14ac:dyDescent="0.25">
      <c r="A106" s="133"/>
      <c r="B106" s="133"/>
      <c r="C106" s="133"/>
      <c r="D106" s="167"/>
      <c r="E106" s="167"/>
      <c r="F106" s="133"/>
      <c r="G106" s="133"/>
      <c r="H106" s="133"/>
    </row>
    <row r="107" spans="1:8" ht="14.4" x14ac:dyDescent="0.25">
      <c r="A107" s="133"/>
      <c r="B107" s="133"/>
      <c r="C107" s="133"/>
      <c r="D107" s="167"/>
      <c r="E107" s="167"/>
      <c r="F107" s="133"/>
      <c r="G107" s="133"/>
      <c r="H107" s="133"/>
    </row>
    <row r="108" spans="1:8" ht="14.4" x14ac:dyDescent="0.25">
      <c r="A108" s="133"/>
      <c r="B108" s="133"/>
      <c r="C108" s="133"/>
      <c r="D108" s="167"/>
      <c r="E108" s="167"/>
      <c r="F108" s="133"/>
      <c r="G108" s="133"/>
      <c r="H108" s="133"/>
    </row>
    <row r="109" spans="1:8" ht="14.4" x14ac:dyDescent="0.25">
      <c r="A109" s="133"/>
      <c r="B109" s="133"/>
      <c r="C109" s="133"/>
      <c r="D109" s="167"/>
      <c r="E109" s="167"/>
      <c r="F109" s="133"/>
      <c r="G109" s="133"/>
      <c r="H109" s="133"/>
    </row>
    <row r="110" spans="1:8" ht="14.4" x14ac:dyDescent="0.25">
      <c r="A110" s="133"/>
      <c r="B110" s="305" t="str">
        <f ca="1">IFERROR(__xludf.DUMMYFUNCTION("""COMPUTED_VALUE"""),"Assessment  Context and Topic Achievement")</f>
        <v>Assessment  Context and Topic Achievement</v>
      </c>
      <c r="C110" s="274"/>
      <c r="D110" s="274"/>
      <c r="E110" s="274"/>
      <c r="F110" s="274"/>
      <c r="G110" s="274"/>
      <c r="H110" s="133"/>
    </row>
    <row r="111" spans="1:8" ht="28.8" x14ac:dyDescent="0.25">
      <c r="A111" s="185"/>
      <c r="B111" s="306" t="str">
        <f ca="1">IFERROR(__xludf.DUMMYFUNCTION("""COMPUTED_VALUE"""),"  Station")</f>
        <v xml:space="preserve">  Station</v>
      </c>
      <c r="C111" s="206"/>
      <c r="D111" s="196" t="str">
        <f ca="1">IFERROR(__xludf.DUMMYFUNCTION("""COMPUTED_VALUE"""),"  Context ")</f>
        <v xml:space="preserve">  Context </v>
      </c>
      <c r="E111" s="197" t="str">
        <f ca="1">IFERROR(__xludf.DUMMYFUNCTION("""COMPUTED_VALUE"""),"  Topic")</f>
        <v xml:space="preserve">  Topic</v>
      </c>
      <c r="F111" s="198" t="str">
        <f ca="1">IFERROR(__xludf.DUMMYFUNCTION("""COMPUTED_VALUE"""),"% of Topic Achievement ")</f>
        <v xml:space="preserve">% of Topic Achievement </v>
      </c>
      <c r="G111" s="198" t="str">
        <f ca="1">IFERROR(__xludf.DUMMYFUNCTION("""COMPUTED_VALUE"""),"Action Plan")</f>
        <v>Action Plan</v>
      </c>
      <c r="H111" s="133"/>
    </row>
    <row r="112" spans="1:8" ht="28.8" x14ac:dyDescent="0.25">
      <c r="A112" s="133"/>
      <c r="B112" s="303" t="str">
        <f ca="1">IFERROR(__xludf.DUMMYFUNCTION("""COMPUTED_VALUE"""),"Station 1")</f>
        <v>Station 1</v>
      </c>
      <c r="C112" s="304"/>
      <c r="D112" s="188"/>
      <c r="E112" s="199" t="str">
        <f ca="1">IFERROR(__xludf.DUMMYFUNCTION("""COMPUTED_VALUE"""),"Alteration of bowl movement")</f>
        <v>Alteration of bowl movement</v>
      </c>
      <c r="F112" s="200">
        <f ca="1">IFERROR(__xludf.DUMMYFUNCTION("""COMPUTED_VALUE"""),0.743679775280898)</f>
        <v>0.74367977528089801</v>
      </c>
      <c r="G112" s="201"/>
      <c r="H112" s="133"/>
    </row>
    <row r="113" spans="1:8" ht="14.4" x14ac:dyDescent="0.25">
      <c r="A113" s="133"/>
      <c r="B113" s="303" t="str">
        <f ca="1">IFERROR(__xludf.DUMMYFUNCTION("""COMPUTED_VALUE"""),"Station 2")</f>
        <v>Station 2</v>
      </c>
      <c r="C113" s="304"/>
      <c r="D113" s="188" t="str">
        <f ca="1">IFERROR(__xludf.DUMMYFUNCTION("""COMPUTED_VALUE"""),"Physical Examination")</f>
        <v>Physical Examination</v>
      </c>
      <c r="E113" s="199" t="str">
        <f ca="1">IFERROR(__xludf.DUMMYFUNCTION("""COMPUTED_VALUE"""),"Abdominal examination")</f>
        <v>Abdominal examination</v>
      </c>
      <c r="F113" s="200">
        <f ca="1">IFERROR(__xludf.DUMMYFUNCTION("""COMPUTED_VALUE"""),0.869517941283073)</f>
        <v>0.86951794128307303</v>
      </c>
      <c r="G113" s="201"/>
      <c r="H113" s="133"/>
    </row>
    <row r="114" spans="1:8" ht="14.4" x14ac:dyDescent="0.25">
      <c r="A114" s="133"/>
      <c r="B114" s="303" t="str">
        <f ca="1">IFERROR(__xludf.DUMMYFUNCTION("""COMPUTED_VALUE"""),"Station 3")</f>
        <v>Station 3</v>
      </c>
      <c r="C114" s="304"/>
      <c r="D114" s="188" t="str">
        <f ca="1">IFERROR(__xludf.DUMMYFUNCTION("""COMPUTED_VALUE"""),"management")</f>
        <v>management</v>
      </c>
      <c r="E114" s="199" t="str">
        <f ca="1">IFERROR(__xludf.DUMMYFUNCTION("""COMPUTED_VALUE"""),"SBP")</f>
        <v>SBP</v>
      </c>
      <c r="F114" s="200">
        <f ca="1">IFERROR(__xludf.DUMMYFUNCTION("""COMPUTED_VALUE"""),0.757958801498127)</f>
        <v>0.757958801498127</v>
      </c>
      <c r="G114" s="201"/>
      <c r="H114" s="133"/>
    </row>
    <row r="115" spans="1:8" ht="14.4" x14ac:dyDescent="0.25">
      <c r="A115" s="133"/>
      <c r="B115" s="303" t="str">
        <f ca="1">IFERROR(__xludf.DUMMYFUNCTION("""COMPUTED_VALUE"""),"Station 4")</f>
        <v>Station 4</v>
      </c>
      <c r="C115" s="304"/>
      <c r="D115" s="188" t="str">
        <f ca="1">IFERROR(__xludf.DUMMYFUNCTION("""COMPUTED_VALUE"""),"PROCEDURE")</f>
        <v>PROCEDURE</v>
      </c>
      <c r="E115" s="199" t="str">
        <f ca="1">IFERROR(__xludf.DUMMYFUNCTION("""COMPUTED_VALUE"""),"Nasogastric tube")</f>
        <v>Nasogastric tube</v>
      </c>
      <c r="F115" s="200">
        <f ca="1">IFERROR(__xludf.DUMMYFUNCTION("""COMPUTED_VALUE"""),0.780337078651685)</f>
        <v>0.780337078651685</v>
      </c>
      <c r="G115" s="201"/>
      <c r="H115" s="133"/>
    </row>
    <row r="116" spans="1:8" ht="14.4" x14ac:dyDescent="0.25">
      <c r="A116" s="133"/>
      <c r="B116" s="303" t="str">
        <f ca="1">IFERROR(__xludf.DUMMYFUNCTION("""COMPUTED_VALUE"""),"Station 5")</f>
        <v>Station 5</v>
      </c>
      <c r="C116" s="304"/>
      <c r="D116" s="188" t="str">
        <f ca="1">IFERROR(__xludf.DUMMYFUNCTION("""COMPUTED_VALUE"""),"Procedure")</f>
        <v>Procedure</v>
      </c>
      <c r="E116" s="199" t="str">
        <f ca="1">IFERROR(__xludf.DUMMYFUNCTION("""COMPUTED_VALUE"""),"Catheterization")</f>
        <v>Catheterization</v>
      </c>
      <c r="F116" s="200">
        <f ca="1">IFERROR(__xludf.DUMMYFUNCTION("""COMPUTED_VALUE"""),0.847191011235955)</f>
        <v>0.84719101123595497</v>
      </c>
      <c r="G116" s="201"/>
      <c r="H116" s="133"/>
    </row>
    <row r="117" spans="1:8" ht="14.4" x14ac:dyDescent="0.25">
      <c r="A117" s="133"/>
      <c r="B117" s="303" t="str">
        <f ca="1">IFERROR(__xludf.DUMMYFUNCTION("""COMPUTED_VALUE"""),"Station 6")</f>
        <v>Station 6</v>
      </c>
      <c r="C117" s="304"/>
      <c r="D117" s="188" t="str">
        <f ca="1">IFERROR(__xludf.DUMMYFUNCTION("""COMPUTED_VALUE"""),"Management")</f>
        <v>Management</v>
      </c>
      <c r="E117" s="199" t="str">
        <f ca="1">IFERROR(__xludf.DUMMYFUNCTION("""COMPUTED_VALUE"""),"Acute Kidney injury")</f>
        <v>Acute Kidney injury</v>
      </c>
      <c r="F117" s="200">
        <f ca="1">IFERROR(__xludf.DUMMYFUNCTION("""COMPUTED_VALUE"""),0.653558052434456)</f>
        <v>0.65355805243445597</v>
      </c>
      <c r="G117" s="201"/>
      <c r="H117" s="133"/>
    </row>
    <row r="118" spans="1:8" ht="14.4" x14ac:dyDescent="0.25">
      <c r="A118" s="133"/>
      <c r="B118" s="303" t="str">
        <f ca="1">IFERROR(__xludf.DUMMYFUNCTION("""COMPUTED_VALUE"""),"Station 7")</f>
        <v>Station 7</v>
      </c>
      <c r="C118" s="304"/>
      <c r="D118" s="188" t="str">
        <f ca="1">IFERROR(__xludf.DUMMYFUNCTION("""COMPUTED_VALUE"""),"consultation")</f>
        <v>consultation</v>
      </c>
      <c r="E118" s="199" t="str">
        <f ca="1">IFERROR(__xludf.DUMMYFUNCTION("""COMPUTED_VALUE"""),"Renal failure")</f>
        <v>Renal failure</v>
      </c>
      <c r="F118" s="200">
        <f ca="1">IFERROR(__xludf.DUMMYFUNCTION("""COMPUTED_VALUE"""),0.776629213483146)</f>
        <v>0.77662921348314595</v>
      </c>
      <c r="G118" s="201"/>
      <c r="H118" s="133"/>
    </row>
    <row r="119" spans="1:8" ht="14.4" x14ac:dyDescent="0.25">
      <c r="A119" s="133"/>
      <c r="B119" s="303" t="str">
        <f ca="1">IFERROR(__xludf.DUMMYFUNCTION("""COMPUTED_VALUE"""),"Station 8")</f>
        <v>Station 8</v>
      </c>
      <c r="C119" s="304"/>
      <c r="D119" s="188" t="str">
        <f ca="1">IFERROR(__xludf.DUMMYFUNCTION("""COMPUTED_VALUE"""),"Oral task")</f>
        <v>Oral task</v>
      </c>
      <c r="E119" s="199" t="str">
        <f ca="1">IFERROR(__xludf.DUMMYFUNCTION("""COMPUTED_VALUE"""),"Leg weakness")</f>
        <v>Leg weakness</v>
      </c>
      <c r="F119" s="200">
        <f ca="1">IFERROR(__xludf.DUMMYFUNCTION("""COMPUTED_VALUE"""),0.651043338683788)</f>
        <v>0.65104333868378805</v>
      </c>
      <c r="G119" s="201"/>
      <c r="H119" s="133"/>
    </row>
    <row r="120" spans="1:8" ht="28.8" x14ac:dyDescent="0.25">
      <c r="A120" s="133"/>
      <c r="B120" s="303" t="str">
        <f ca="1">IFERROR(__xludf.DUMMYFUNCTION("""COMPUTED_VALUE"""),"Station 9")</f>
        <v>Station 9</v>
      </c>
      <c r="C120" s="304"/>
      <c r="D120" s="188" t="str">
        <f ca="1">IFERROR(__xludf.DUMMYFUNCTION("""COMPUTED_VALUE"""),"Examination")</f>
        <v>Examination</v>
      </c>
      <c r="E120" s="199" t="str">
        <f ca="1">IFERROR(__xludf.DUMMYFUNCTION("""COMPUTED_VALUE"""),"Motor examination of upper limb")</f>
        <v>Motor examination of upper limb</v>
      </c>
      <c r="F120" s="200">
        <f ca="1">IFERROR(__xludf.DUMMYFUNCTION("""COMPUTED_VALUE"""),0.855337078651685)</f>
        <v>0.85533707865168496</v>
      </c>
      <c r="G120" s="201"/>
      <c r="H120" s="133"/>
    </row>
    <row r="121" spans="1:8" ht="14.4" x14ac:dyDescent="0.25">
      <c r="A121" s="133"/>
      <c r="B121" s="303" t="str">
        <f ca="1">IFERROR(__xludf.DUMMYFUNCTION("""COMPUTED_VALUE"""),"Station 10")</f>
        <v>Station 10</v>
      </c>
      <c r="C121" s="304"/>
      <c r="D121" s="188" t="str">
        <f ca="1">IFERROR(__xludf.DUMMYFUNCTION("""COMPUTED_VALUE"""),"interpretation")</f>
        <v>interpretation</v>
      </c>
      <c r="E121" s="199" t="str">
        <f ca="1">IFERROR(__xludf.DUMMYFUNCTION("""COMPUTED_VALUE"""),"epidural hematoma")</f>
        <v>epidural hematoma</v>
      </c>
      <c r="F121" s="200">
        <f ca="1">IFERROR(__xludf.DUMMYFUNCTION("""COMPUTED_VALUE"""),0.422613531047265)</f>
        <v>0.42261353104726501</v>
      </c>
      <c r="G121" s="201"/>
      <c r="H121" s="133"/>
    </row>
    <row r="122" spans="1:8" ht="14.4" x14ac:dyDescent="0.25">
      <c r="A122" s="133"/>
      <c r="B122" s="303" t="str">
        <f ca="1">IFERROR(__xludf.DUMMYFUNCTION("""COMPUTED_VALUE"""),"Station 11")</f>
        <v>Station 11</v>
      </c>
      <c r="C122" s="304"/>
      <c r="D122" s="188"/>
      <c r="E122" s="199"/>
      <c r="F122" s="200"/>
      <c r="G122" s="201"/>
      <c r="H122" s="133"/>
    </row>
    <row r="123" spans="1:8" ht="14.4" x14ac:dyDescent="0.25">
      <c r="A123" s="133"/>
      <c r="B123" s="303" t="str">
        <f ca="1">IFERROR(__xludf.DUMMYFUNCTION("""COMPUTED_VALUE"""),"Station 12")</f>
        <v>Station 12</v>
      </c>
      <c r="C123" s="304"/>
      <c r="D123" s="188"/>
      <c r="E123" s="199"/>
      <c r="F123" s="200"/>
      <c r="G123" s="201"/>
      <c r="H123" s="133"/>
    </row>
    <row r="124" spans="1:8" ht="14.4" x14ac:dyDescent="0.25">
      <c r="A124" s="133"/>
      <c r="B124" s="303" t="str">
        <f ca="1">IFERROR(__xludf.DUMMYFUNCTION("""COMPUTED_VALUE"""),"Station 13")</f>
        <v>Station 13</v>
      </c>
      <c r="C124" s="304"/>
      <c r="D124" s="188"/>
      <c r="E124" s="199"/>
      <c r="F124" s="200"/>
      <c r="G124" s="201"/>
      <c r="H124" s="133"/>
    </row>
    <row r="125" spans="1:8" ht="14.4" x14ac:dyDescent="0.25">
      <c r="A125" s="133"/>
      <c r="B125" s="303" t="str">
        <f ca="1">IFERROR(__xludf.DUMMYFUNCTION("""COMPUTED_VALUE"""),"Station 14")</f>
        <v>Station 14</v>
      </c>
      <c r="C125" s="304"/>
      <c r="D125" s="188"/>
      <c r="E125" s="199"/>
      <c r="F125" s="200"/>
      <c r="G125" s="201"/>
      <c r="H125" s="133"/>
    </row>
    <row r="126" spans="1:8" ht="14.4" x14ac:dyDescent="0.25">
      <c r="A126" s="133"/>
      <c r="B126" s="303" t="str">
        <f ca="1">IFERROR(__xludf.DUMMYFUNCTION("""COMPUTED_VALUE"""),"Station 15")</f>
        <v>Station 15</v>
      </c>
      <c r="C126" s="304"/>
      <c r="D126" s="188"/>
      <c r="E126" s="199"/>
      <c r="F126" s="200"/>
      <c r="G126" s="201"/>
      <c r="H126" s="133"/>
    </row>
    <row r="127" spans="1:8" ht="14.4" x14ac:dyDescent="0.25">
      <c r="A127" s="133"/>
      <c r="B127" s="303" t="str">
        <f ca="1">IFERROR(__xludf.DUMMYFUNCTION("""COMPUTED_VALUE"""),"Station 16")</f>
        <v>Station 16</v>
      </c>
      <c r="C127" s="304"/>
      <c r="D127" s="188"/>
      <c r="E127" s="199"/>
      <c r="F127" s="200"/>
      <c r="G127" s="201"/>
      <c r="H127" s="133"/>
    </row>
    <row r="128" spans="1:8" ht="14.4" x14ac:dyDescent="0.25">
      <c r="A128" s="133"/>
      <c r="B128" s="208"/>
      <c r="C128" s="206"/>
      <c r="D128" s="206"/>
      <c r="E128" s="202"/>
      <c r="F128" s="203"/>
      <c r="G128" s="133"/>
      <c r="H128" s="133"/>
    </row>
    <row r="129" spans="1:8" ht="14.4" x14ac:dyDescent="0.25">
      <c r="A129" s="133"/>
      <c r="B129" s="271" t="s">
        <v>8</v>
      </c>
      <c r="C129" s="206"/>
      <c r="D129" s="206"/>
      <c r="E129" s="202"/>
      <c r="F129" s="203"/>
      <c r="G129" s="133"/>
      <c r="H129" s="133"/>
    </row>
    <row r="130" spans="1:8" ht="14.4" x14ac:dyDescent="0.25">
      <c r="A130" s="133"/>
      <c r="B130" s="208"/>
      <c r="C130" s="206"/>
      <c r="D130" s="206"/>
      <c r="E130" s="202"/>
      <c r="F130" s="203"/>
      <c r="G130" s="133"/>
      <c r="H130" s="133"/>
    </row>
    <row r="131" spans="1:8" ht="14.4" x14ac:dyDescent="0.25">
      <c r="A131" s="133"/>
      <c r="B131" s="1"/>
      <c r="C131" s="1"/>
      <c r="D131" s="1"/>
      <c r="E131" s="202"/>
      <c r="F131" s="203"/>
      <c r="G131" s="133"/>
      <c r="H131" s="133"/>
    </row>
    <row r="132" spans="1:8" ht="14.4" x14ac:dyDescent="0.25">
      <c r="A132" s="133"/>
      <c r="B132" s="301" t="s">
        <v>40</v>
      </c>
      <c r="C132" s="206"/>
      <c r="D132" s="206"/>
      <c r="E132" s="206"/>
      <c r="F132" s="203"/>
      <c r="G132" s="133"/>
      <c r="H132" s="133"/>
    </row>
    <row r="133" spans="1:8" ht="14.4" x14ac:dyDescent="0.25">
      <c r="A133" s="133"/>
      <c r="B133" s="302"/>
      <c r="C133" s="206"/>
      <c r="D133" s="206"/>
      <c r="E133" s="206"/>
      <c r="F133" s="206"/>
      <c r="G133" s="206"/>
      <c r="H133" s="133"/>
    </row>
    <row r="134" spans="1:8" ht="14.4" x14ac:dyDescent="0.25">
      <c r="A134" s="133"/>
      <c r="B134" s="206"/>
      <c r="C134" s="206"/>
      <c r="D134" s="206"/>
      <c r="E134" s="206"/>
      <c r="F134" s="206"/>
      <c r="G134" s="206"/>
      <c r="H134" s="133"/>
    </row>
    <row r="135" spans="1:8" ht="14.4" x14ac:dyDescent="0.25">
      <c r="A135" s="133"/>
      <c r="B135" s="206"/>
      <c r="C135" s="206"/>
      <c r="D135" s="206"/>
      <c r="E135" s="206"/>
      <c r="F135" s="206"/>
      <c r="G135" s="206"/>
      <c r="H135" s="133"/>
    </row>
    <row r="136" spans="1:8" ht="14.4" x14ac:dyDescent="0.25">
      <c r="A136" s="133"/>
      <c r="B136" s="133"/>
      <c r="C136" s="133"/>
      <c r="D136" s="133"/>
      <c r="E136" s="202"/>
      <c r="F136" s="203"/>
      <c r="G136" s="133"/>
      <c r="H136" s="133"/>
    </row>
    <row r="137" spans="1:8" ht="14.4" x14ac:dyDescent="0.25">
      <c r="A137" s="133"/>
      <c r="B137" s="301" t="s">
        <v>41</v>
      </c>
      <c r="C137" s="206"/>
      <c r="D137" s="206"/>
      <c r="E137" s="206"/>
      <c r="F137" s="203"/>
      <c r="G137" s="133"/>
      <c r="H137" s="133"/>
    </row>
    <row r="138" spans="1:8" ht="14.4" x14ac:dyDescent="0.25">
      <c r="A138" s="133"/>
      <c r="B138" s="302"/>
      <c r="C138" s="206"/>
      <c r="D138" s="206"/>
      <c r="E138" s="206"/>
      <c r="F138" s="206"/>
      <c r="G138" s="206"/>
      <c r="H138" s="133"/>
    </row>
    <row r="139" spans="1:8" ht="14.4" x14ac:dyDescent="0.25">
      <c r="A139" s="133"/>
      <c r="B139" s="206"/>
      <c r="C139" s="206"/>
      <c r="D139" s="206"/>
      <c r="E139" s="206"/>
      <c r="F139" s="206"/>
      <c r="G139" s="206"/>
      <c r="H139" s="133"/>
    </row>
    <row r="140" spans="1:8" ht="14.4" x14ac:dyDescent="0.25">
      <c r="A140" s="133"/>
      <c r="B140" s="206"/>
      <c r="C140" s="206"/>
      <c r="D140" s="206"/>
      <c r="E140" s="206"/>
      <c r="F140" s="206"/>
      <c r="G140" s="206"/>
      <c r="H140" s="133"/>
    </row>
    <row r="141" spans="1:8" ht="14.4" x14ac:dyDescent="0.25">
      <c r="A141" s="133"/>
      <c r="B141" s="206"/>
      <c r="C141" s="206"/>
      <c r="D141" s="206"/>
      <c r="E141" s="206"/>
      <c r="F141" s="206"/>
      <c r="G141" s="206"/>
      <c r="H141" s="133"/>
    </row>
    <row r="142" spans="1:8" ht="14.4" x14ac:dyDescent="0.25">
      <c r="A142" s="133"/>
      <c r="B142" s="206"/>
      <c r="C142" s="206"/>
      <c r="D142" s="206"/>
      <c r="E142" s="206"/>
      <c r="F142" s="206"/>
      <c r="G142" s="206"/>
      <c r="H142" s="133"/>
    </row>
    <row r="143" spans="1:8" ht="14.4" x14ac:dyDescent="0.25">
      <c r="A143" s="133"/>
      <c r="B143" s="133"/>
      <c r="C143" s="133"/>
      <c r="D143" s="133"/>
      <c r="E143" s="202"/>
      <c r="F143" s="203"/>
      <c r="G143" s="133"/>
      <c r="H143" s="133"/>
    </row>
    <row r="144" spans="1:8" ht="14.4" x14ac:dyDescent="0.25">
      <c r="A144" s="133"/>
      <c r="B144" s="301" t="s">
        <v>42</v>
      </c>
      <c r="C144" s="206"/>
      <c r="D144" s="206"/>
      <c r="E144" s="206"/>
      <c r="F144" s="203"/>
      <c r="G144" s="133"/>
      <c r="H144" s="133"/>
    </row>
    <row r="145" spans="1:8" ht="14.4" x14ac:dyDescent="0.25">
      <c r="A145" s="133"/>
      <c r="B145" s="302"/>
      <c r="C145" s="206"/>
      <c r="D145" s="206"/>
      <c r="E145" s="206"/>
      <c r="F145" s="206"/>
      <c r="G145" s="206"/>
      <c r="H145" s="133"/>
    </row>
    <row r="146" spans="1:8" ht="14.4" x14ac:dyDescent="0.25">
      <c r="A146" s="133"/>
      <c r="B146" s="206"/>
      <c r="C146" s="206"/>
      <c r="D146" s="206"/>
      <c r="E146" s="206"/>
      <c r="F146" s="206"/>
      <c r="G146" s="206"/>
      <c r="H146" s="133"/>
    </row>
    <row r="147" spans="1:8" ht="14.4" x14ac:dyDescent="0.25">
      <c r="A147" s="133"/>
      <c r="B147" s="206"/>
      <c r="C147" s="206"/>
      <c r="D147" s="206"/>
      <c r="E147" s="206"/>
      <c r="F147" s="206"/>
      <c r="G147" s="206"/>
      <c r="H147" s="133"/>
    </row>
    <row r="148" spans="1:8" ht="14.4" x14ac:dyDescent="0.25">
      <c r="A148" s="133"/>
      <c r="B148" s="206"/>
      <c r="C148" s="206"/>
      <c r="D148" s="206"/>
      <c r="E148" s="206"/>
      <c r="F148" s="206"/>
      <c r="G148" s="206"/>
      <c r="H148" s="133"/>
    </row>
    <row r="149" spans="1:8" ht="14.4" x14ac:dyDescent="0.25">
      <c r="A149" s="133"/>
      <c r="B149" s="206"/>
      <c r="C149" s="206"/>
      <c r="D149" s="206"/>
      <c r="E149" s="206"/>
      <c r="F149" s="206"/>
      <c r="G149" s="206"/>
      <c r="H149" s="133"/>
    </row>
    <row r="150" spans="1:8" ht="14.4" x14ac:dyDescent="0.25">
      <c r="A150" s="133"/>
      <c r="B150" s="206"/>
      <c r="C150" s="206"/>
      <c r="D150" s="206"/>
      <c r="E150" s="206"/>
      <c r="F150" s="206"/>
      <c r="G150" s="206"/>
      <c r="H150" s="133"/>
    </row>
    <row r="151" spans="1:8" ht="14.4" x14ac:dyDescent="0.25">
      <c r="A151" s="133"/>
      <c r="B151" s="133"/>
      <c r="C151" s="133"/>
      <c r="D151" s="133"/>
      <c r="E151" s="202"/>
      <c r="F151" s="203"/>
      <c r="G151" s="133"/>
      <c r="H151" s="133"/>
    </row>
    <row r="152" spans="1:8" ht="14.4" x14ac:dyDescent="0.25">
      <c r="A152" s="133"/>
      <c r="B152" s="301" t="s">
        <v>43</v>
      </c>
      <c r="C152" s="206"/>
      <c r="D152" s="206"/>
      <c r="E152" s="206"/>
      <c r="F152" s="203"/>
      <c r="G152" s="133"/>
      <c r="H152" s="133"/>
    </row>
    <row r="153" spans="1:8" ht="14.4" x14ac:dyDescent="0.25">
      <c r="A153" s="133"/>
      <c r="B153" s="302"/>
      <c r="C153" s="206"/>
      <c r="D153" s="206"/>
      <c r="E153" s="206"/>
      <c r="F153" s="206"/>
      <c r="G153" s="206"/>
      <c r="H153" s="133"/>
    </row>
    <row r="154" spans="1:8" ht="14.4" x14ac:dyDescent="0.25">
      <c r="A154" s="133"/>
      <c r="B154" s="206"/>
      <c r="C154" s="206"/>
      <c r="D154" s="206"/>
      <c r="E154" s="206"/>
      <c r="F154" s="206"/>
      <c r="G154" s="206"/>
      <c r="H154" s="133"/>
    </row>
    <row r="155" spans="1:8" ht="14.4" x14ac:dyDescent="0.25">
      <c r="A155" s="133"/>
      <c r="B155" s="206"/>
      <c r="C155" s="206"/>
      <c r="D155" s="206"/>
      <c r="E155" s="206"/>
      <c r="F155" s="206"/>
      <c r="G155" s="206"/>
      <c r="H155" s="133"/>
    </row>
    <row r="156" spans="1:8" ht="14.4" x14ac:dyDescent="0.25">
      <c r="A156" s="133"/>
      <c r="B156" s="206"/>
      <c r="C156" s="206"/>
      <c r="D156" s="206"/>
      <c r="E156" s="206"/>
      <c r="F156" s="206"/>
      <c r="G156" s="206"/>
      <c r="H156" s="133"/>
    </row>
    <row r="157" spans="1:8" ht="14.4" x14ac:dyDescent="0.25">
      <c r="A157" s="133"/>
      <c r="B157" s="206"/>
      <c r="C157" s="206"/>
      <c r="D157" s="206"/>
      <c r="E157" s="206"/>
      <c r="F157" s="206"/>
      <c r="G157" s="206"/>
      <c r="H157" s="133"/>
    </row>
    <row r="158" spans="1:8" ht="14.4" x14ac:dyDescent="0.25">
      <c r="A158" s="133"/>
      <c r="B158" s="133"/>
      <c r="C158" s="133"/>
      <c r="D158" s="133"/>
      <c r="E158" s="202"/>
      <c r="F158" s="203"/>
      <c r="G158" s="133"/>
      <c r="H158" s="133"/>
    </row>
    <row r="159" spans="1:8" ht="14.4" x14ac:dyDescent="0.25">
      <c r="A159" s="133"/>
      <c r="B159" s="301" t="s">
        <v>44</v>
      </c>
      <c r="C159" s="206"/>
      <c r="D159" s="206"/>
      <c r="E159" s="206"/>
      <c r="F159" s="203"/>
      <c r="G159" s="133"/>
      <c r="H159" s="133"/>
    </row>
    <row r="160" spans="1:8" ht="14.4" x14ac:dyDescent="0.25">
      <c r="A160" s="133"/>
      <c r="B160" s="302"/>
      <c r="C160" s="206"/>
      <c r="D160" s="206"/>
      <c r="E160" s="206"/>
      <c r="F160" s="206"/>
      <c r="G160" s="206"/>
      <c r="H160" s="133"/>
    </row>
    <row r="161" spans="1:8" ht="14.4" x14ac:dyDescent="0.25">
      <c r="A161" s="133"/>
      <c r="B161" s="206"/>
      <c r="C161" s="206"/>
      <c r="D161" s="206"/>
      <c r="E161" s="206"/>
      <c r="F161" s="206"/>
      <c r="G161" s="206"/>
      <c r="H161" s="133"/>
    </row>
    <row r="162" spans="1:8" ht="14.4" x14ac:dyDescent="0.25">
      <c r="A162" s="133"/>
      <c r="B162" s="206"/>
      <c r="C162" s="206"/>
      <c r="D162" s="206"/>
      <c r="E162" s="206"/>
      <c r="F162" s="206"/>
      <c r="G162" s="206"/>
      <c r="H162" s="133"/>
    </row>
    <row r="163" spans="1:8" ht="14.4" x14ac:dyDescent="0.25">
      <c r="A163" s="133"/>
      <c r="B163" s="206"/>
      <c r="C163" s="206"/>
      <c r="D163" s="206"/>
      <c r="E163" s="206"/>
      <c r="F163" s="206"/>
      <c r="G163" s="206"/>
      <c r="H163" s="133"/>
    </row>
    <row r="164" spans="1:8" ht="14.4" x14ac:dyDescent="0.25">
      <c r="A164" s="133"/>
      <c r="B164" s="206"/>
      <c r="C164" s="206"/>
      <c r="D164" s="206"/>
      <c r="E164" s="206"/>
      <c r="F164" s="206"/>
      <c r="G164" s="206"/>
      <c r="H164" s="133"/>
    </row>
    <row r="165" spans="1:8" ht="14.4" x14ac:dyDescent="0.25">
      <c r="A165" s="133"/>
      <c r="B165" s="133"/>
      <c r="C165" s="133"/>
      <c r="D165" s="133"/>
      <c r="E165" s="202"/>
      <c r="F165" s="203"/>
      <c r="G165" s="133"/>
      <c r="H165" s="133"/>
    </row>
    <row r="166" spans="1:8" ht="14.4" x14ac:dyDescent="0.25">
      <c r="A166" s="133"/>
      <c r="B166" s="301" t="s">
        <v>45</v>
      </c>
      <c r="C166" s="206"/>
      <c r="D166" s="206"/>
      <c r="E166" s="206"/>
      <c r="F166" s="203"/>
      <c r="G166" s="133"/>
      <c r="H166" s="133"/>
    </row>
    <row r="167" spans="1:8" ht="14.4" x14ac:dyDescent="0.25">
      <c r="A167" s="133"/>
      <c r="B167" s="302"/>
      <c r="C167" s="206"/>
      <c r="D167" s="206"/>
      <c r="E167" s="206"/>
      <c r="F167" s="206"/>
      <c r="G167" s="206"/>
      <c r="H167" s="133"/>
    </row>
    <row r="168" spans="1:8" ht="14.4" x14ac:dyDescent="0.25">
      <c r="A168" s="133"/>
      <c r="B168" s="206"/>
      <c r="C168" s="206"/>
      <c r="D168" s="206"/>
      <c r="E168" s="206"/>
      <c r="F168" s="206"/>
      <c r="G168" s="206"/>
      <c r="H168" s="133"/>
    </row>
    <row r="169" spans="1:8" ht="14.4" x14ac:dyDescent="0.25">
      <c r="A169" s="133"/>
      <c r="B169" s="206"/>
      <c r="C169" s="206"/>
      <c r="D169" s="206"/>
      <c r="E169" s="206"/>
      <c r="F169" s="206"/>
      <c r="G169" s="206"/>
      <c r="H169" s="133"/>
    </row>
    <row r="170" spans="1:8" ht="14.4" x14ac:dyDescent="0.25">
      <c r="A170" s="133"/>
      <c r="B170" s="206"/>
      <c r="C170" s="206"/>
      <c r="D170" s="206"/>
      <c r="E170" s="206"/>
      <c r="F170" s="206"/>
      <c r="G170" s="206"/>
      <c r="H170" s="133"/>
    </row>
    <row r="171" spans="1:8" ht="14.4" x14ac:dyDescent="0.25">
      <c r="A171" s="133"/>
      <c r="B171" s="206"/>
      <c r="C171" s="206"/>
      <c r="D171" s="206"/>
      <c r="E171" s="206"/>
      <c r="F171" s="206"/>
      <c r="G171" s="206"/>
      <c r="H171" s="133"/>
    </row>
    <row r="172" spans="1:8" ht="14.4" x14ac:dyDescent="0.25">
      <c r="A172" s="133"/>
      <c r="B172" s="133"/>
      <c r="C172" s="133"/>
      <c r="D172" s="133"/>
      <c r="E172" s="202"/>
      <c r="F172" s="203"/>
      <c r="G172" s="133"/>
      <c r="H172" s="133"/>
    </row>
    <row r="173" spans="1:8" ht="14.4" x14ac:dyDescent="0.25">
      <c r="A173" s="133"/>
      <c r="B173" s="133"/>
      <c r="C173" s="133"/>
      <c r="D173" s="133"/>
      <c r="E173" s="202"/>
      <c r="F173" s="203"/>
      <c r="G173" s="133"/>
      <c r="H173" s="133"/>
    </row>
    <row r="174" spans="1:8" ht="15.6" x14ac:dyDescent="0.25">
      <c r="A174" s="133"/>
      <c r="B174" s="164" t="s">
        <v>46</v>
      </c>
      <c r="C174" s="164"/>
      <c r="D174" s="164" t="s">
        <v>47</v>
      </c>
      <c r="E174" s="202"/>
      <c r="F174" s="203"/>
      <c r="G174" s="133"/>
      <c r="H174" s="133"/>
    </row>
    <row r="175" spans="1:8" ht="14.4" x14ac:dyDescent="0.25">
      <c r="A175" s="133"/>
      <c r="B175" s="302"/>
      <c r="C175" s="206"/>
      <c r="D175" s="204"/>
      <c r="E175" s="202"/>
      <c r="F175" s="203"/>
      <c r="G175" s="133"/>
      <c r="H175" s="133"/>
    </row>
    <row r="176" spans="1:8" ht="15.6" x14ac:dyDescent="0.25">
      <c r="A176" s="133"/>
      <c r="B176" s="133"/>
      <c r="C176" s="164"/>
      <c r="D176" s="133"/>
      <c r="E176" s="202"/>
      <c r="F176" s="203"/>
      <c r="G176" s="133"/>
      <c r="H176" s="133"/>
    </row>
    <row r="177" spans="1:8" ht="15.6" x14ac:dyDescent="0.25">
      <c r="A177" s="133"/>
      <c r="B177" s="164" t="s">
        <v>48</v>
      </c>
      <c r="C177" s="133"/>
      <c r="D177" s="133"/>
      <c r="E177" s="202"/>
      <c r="F177" s="203"/>
      <c r="G177" s="133"/>
      <c r="H177" s="133"/>
    </row>
    <row r="178" spans="1:8" ht="14.4" x14ac:dyDescent="0.25">
      <c r="A178" s="133"/>
      <c r="B178" s="133"/>
      <c r="C178" s="133"/>
      <c r="D178" s="133"/>
      <c r="E178" s="202"/>
      <c r="F178" s="203"/>
      <c r="G178" s="133"/>
      <c r="H178" s="133"/>
    </row>
    <row r="179" spans="1:8" ht="14.4" x14ac:dyDescent="0.25">
      <c r="A179" s="133"/>
      <c r="B179" s="208"/>
      <c r="C179" s="206"/>
      <c r="D179" s="206"/>
      <c r="E179" s="202"/>
      <c r="F179" s="203"/>
      <c r="G179" s="133"/>
      <c r="H179" s="133"/>
    </row>
    <row r="180" spans="1:8" ht="14.4" x14ac:dyDescent="0.25">
      <c r="A180" s="133"/>
      <c r="B180" s="208"/>
      <c r="C180" s="206"/>
      <c r="D180" s="206"/>
      <c r="E180" s="202"/>
      <c r="F180" s="203"/>
      <c r="G180" s="133"/>
      <c r="H180" s="133"/>
    </row>
    <row r="181" spans="1:8" ht="14.4" x14ac:dyDescent="0.25">
      <c r="A181" s="133"/>
      <c r="B181" s="208"/>
      <c r="C181" s="206"/>
      <c r="D181" s="206"/>
      <c r="E181" s="202"/>
      <c r="F181" s="203"/>
      <c r="G181" s="133"/>
      <c r="H181" s="133"/>
    </row>
    <row r="182" spans="1:8" ht="14.4" x14ac:dyDescent="0.25">
      <c r="A182" s="133"/>
      <c r="B182" s="208"/>
      <c r="C182" s="206"/>
      <c r="D182" s="206"/>
      <c r="E182" s="202"/>
      <c r="F182" s="203"/>
      <c r="G182" s="133"/>
      <c r="H182" s="133"/>
    </row>
  </sheetData>
  <mergeCells count="107">
    <mergeCell ref="D2:F2"/>
    <mergeCell ref="B3:G3"/>
    <mergeCell ref="B4:G4"/>
    <mergeCell ref="B7:C7"/>
    <mergeCell ref="E7:F7"/>
    <mergeCell ref="B8:C8"/>
    <mergeCell ref="E8:F8"/>
    <mergeCell ref="B10:G10"/>
    <mergeCell ref="B41:G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4:G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181:D181"/>
    <mergeCell ref="B182:D182"/>
    <mergeCell ref="B159:E159"/>
    <mergeCell ref="B160:G164"/>
    <mergeCell ref="B166:E166"/>
    <mergeCell ref="B167:G171"/>
    <mergeCell ref="B175:C175"/>
    <mergeCell ref="B179:D179"/>
    <mergeCell ref="B180:D180"/>
    <mergeCell ref="B84:C84"/>
    <mergeCell ref="B85:C85"/>
    <mergeCell ref="B86:C86"/>
    <mergeCell ref="B87:C87"/>
    <mergeCell ref="B90:G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10:G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52:E152"/>
    <mergeCell ref="B153:G157"/>
    <mergeCell ref="B128:D128"/>
    <mergeCell ref="B129:D129"/>
    <mergeCell ref="B130:D130"/>
    <mergeCell ref="B132:E132"/>
    <mergeCell ref="B133:G135"/>
    <mergeCell ref="B137:E137"/>
    <mergeCell ref="B138:G142"/>
    <mergeCell ref="B144:E144"/>
    <mergeCell ref="B145:G150"/>
  </mergeCells>
  <dataValidations count="1">
    <dataValidation type="custom" allowBlank="1" showDropDown="1" sqref="D175" xr:uid="{00000000-0002-0000-0600-000000000000}">
      <formula1>OR(NOT(ISERROR(DATEVALUE(D175))), AND(ISNUMBER(D175), LEFT(CELL("format", D175))="D"))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600-000001000000}">
          <x14:formula1>
            <xm:f>'System Setup'!$AC$5:$AC$35</xm:f>
          </x14:formula1>
          <xm:sqref>C5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Course Detail</vt:lpstr>
      <vt:lpstr>System Setup</vt:lpstr>
      <vt:lpstr>Examinar Data</vt:lpstr>
      <vt:lpstr>OSCE Detail Result </vt:lpstr>
      <vt:lpstr>Assessment Report</vt:lpstr>
      <vt:lpstr>LO Achievement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Uzma Khan Yasser Naseem</cp:lastModifiedBy>
  <dcterms:created xsi:type="dcterms:W3CDTF">2025-04-10T15:23:45Z</dcterms:created>
  <dcterms:modified xsi:type="dcterms:W3CDTF">2025-05-31T11:37:22Z</dcterms:modified>
</cp:coreProperties>
</file>